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0" yWindow="0" windowWidth="20730" windowHeight="9735" tabRatio="521" activeTab="1"/>
  </bookViews>
  <sheets>
    <sheet name="BD EMPLEADOS" sheetId="7" r:id="rId1"/>
    <sheet name="Nómina" sheetId="1" r:id="rId2"/>
    <sheet name="COLILLA DE PAGO" sheetId="6" r:id="rId3"/>
  </sheets>
  <definedNames>
    <definedName name="_xlnm._FilterDatabase" localSheetId="0" hidden="1">'BD EMPLEADOS'!$A$1:$E$33</definedName>
    <definedName name="_xlnm._FilterDatabase" localSheetId="1" hidden="1">Nómina!$A$10:$Z$55</definedName>
    <definedName name="BDEMPLEADOS">'BD EMPLEADOS'!$1:$1048576</definedName>
    <definedName name="NOMINA">Nómina!$1:$1048576</definedName>
  </definedNames>
  <calcPr calcId="144525"/>
  <fileRecoveryPr autoRecover="0"/>
</workbook>
</file>

<file path=xl/calcChain.xml><?xml version="1.0" encoding="utf-8"?>
<calcChain xmlns="http://schemas.openxmlformats.org/spreadsheetml/2006/main">
  <c r="I38" i="6" l="1"/>
  <c r="D38" i="6"/>
  <c r="I18" i="6"/>
  <c r="D18" i="6"/>
  <c r="E51" i="1"/>
  <c r="H47" i="1" l="1"/>
  <c r="E48" i="1"/>
  <c r="B289" i="6" l="1"/>
  <c r="B287" i="6"/>
  <c r="G287" i="6"/>
  <c r="G289" i="6"/>
  <c r="G269" i="6"/>
  <c r="B269" i="6"/>
  <c r="G249" i="6"/>
  <c r="B249" i="6"/>
  <c r="G229" i="6"/>
  <c r="B229" i="6"/>
  <c r="G209" i="6"/>
  <c r="B209" i="6"/>
  <c r="G189" i="6"/>
  <c r="B189" i="6"/>
  <c r="G169" i="6"/>
  <c r="B169" i="6"/>
  <c r="G149" i="6"/>
  <c r="B149" i="6"/>
  <c r="G129" i="6"/>
  <c r="B129" i="6"/>
  <c r="G109" i="6"/>
  <c r="B109" i="6"/>
  <c r="G89" i="6"/>
  <c r="B89" i="6"/>
  <c r="G69" i="6"/>
  <c r="B69" i="6"/>
  <c r="G49" i="6"/>
  <c r="B49" i="6"/>
  <c r="G29" i="6"/>
  <c r="B29" i="6"/>
  <c r="G9" i="6"/>
  <c r="B7" i="6"/>
  <c r="V43" i="1"/>
  <c r="G267" i="6"/>
  <c r="B267" i="6"/>
  <c r="G247" i="6"/>
  <c r="B247" i="6"/>
  <c r="G227" i="6"/>
  <c r="B227" i="6"/>
  <c r="G207" i="6"/>
  <c r="B207" i="6"/>
  <c r="G187" i="6"/>
  <c r="B187" i="6"/>
  <c r="G167" i="6"/>
  <c r="B167" i="6"/>
  <c r="G147" i="6"/>
  <c r="B147" i="6"/>
  <c r="G127" i="6"/>
  <c r="B127" i="6"/>
  <c r="G107" i="6"/>
  <c r="B107" i="6"/>
  <c r="G87" i="6"/>
  <c r="B87" i="6"/>
  <c r="G67" i="6"/>
  <c r="B67" i="6"/>
  <c r="G47" i="6"/>
  <c r="B47" i="6"/>
  <c r="G27" i="6"/>
  <c r="B27" i="6"/>
  <c r="G7" i="6"/>
  <c r="B9" i="6"/>
  <c r="B14" i="1"/>
  <c r="B13" i="1"/>
  <c r="C13" i="1"/>
  <c r="G13" i="1" s="1"/>
  <c r="C14" i="1"/>
  <c r="J14" i="1" s="1"/>
  <c r="C15" i="1"/>
  <c r="C16" i="1"/>
  <c r="C17" i="1"/>
  <c r="I17" i="1" s="1"/>
  <c r="C18" i="1"/>
  <c r="C19" i="1"/>
  <c r="C20" i="1"/>
  <c r="C21" i="1"/>
  <c r="C22" i="1"/>
  <c r="J22" i="1" s="1"/>
  <c r="C23" i="1"/>
  <c r="C24" i="1"/>
  <c r="C25" i="1"/>
  <c r="C26" i="1"/>
  <c r="J26" i="1" s="1"/>
  <c r="C27" i="1"/>
  <c r="C28" i="1"/>
  <c r="C29" i="1"/>
  <c r="C30" i="1"/>
  <c r="J30" i="1" s="1"/>
  <c r="C31" i="1"/>
  <c r="C32" i="1"/>
  <c r="C33" i="1"/>
  <c r="I33" i="1" s="1"/>
  <c r="C34" i="1"/>
  <c r="C35" i="1"/>
  <c r="C36" i="1"/>
  <c r="C37" i="1"/>
  <c r="C38" i="1"/>
  <c r="J38" i="1" s="1"/>
  <c r="C39" i="1"/>
  <c r="G39" i="1" s="1"/>
  <c r="C40" i="1"/>
  <c r="H40" i="1" s="1"/>
  <c r="C41" i="1"/>
  <c r="I41" i="1" s="1"/>
  <c r="C42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E4" i="7"/>
  <c r="E13" i="1" s="1"/>
  <c r="F13" i="1" s="1"/>
  <c r="E5" i="7"/>
  <c r="E14" i="1" s="1"/>
  <c r="F14" i="1" s="1"/>
  <c r="E6" i="7"/>
  <c r="E15" i="1" s="1"/>
  <c r="F15" i="1" s="1"/>
  <c r="E7" i="7"/>
  <c r="E16" i="1" s="1"/>
  <c r="F16" i="1" s="1"/>
  <c r="E8" i="7"/>
  <c r="E17" i="1"/>
  <c r="F17" i="1" s="1"/>
  <c r="E9" i="7"/>
  <c r="E18" i="1"/>
  <c r="F18" i="1" s="1"/>
  <c r="E10" i="7"/>
  <c r="E19" i="1"/>
  <c r="F19" i="1" s="1"/>
  <c r="E11" i="7"/>
  <c r="E20" i="1"/>
  <c r="F20" i="1" s="1"/>
  <c r="E12" i="7"/>
  <c r="E21" i="1"/>
  <c r="F21" i="1" s="1"/>
  <c r="E13" i="7"/>
  <c r="E22" i="1"/>
  <c r="F22" i="1" s="1"/>
  <c r="E14" i="7"/>
  <c r="E23" i="1"/>
  <c r="F23" i="1" s="1"/>
  <c r="E15" i="7"/>
  <c r="E24" i="1"/>
  <c r="F24" i="1" s="1"/>
  <c r="E16" i="7"/>
  <c r="E25" i="1"/>
  <c r="F25" i="1" s="1"/>
  <c r="E17" i="7"/>
  <c r="E26" i="1"/>
  <c r="F26" i="1" s="1"/>
  <c r="E18" i="7"/>
  <c r="E27" i="1"/>
  <c r="F27" i="1" s="1"/>
  <c r="E19" i="7"/>
  <c r="E28" i="1"/>
  <c r="F28" i="1" s="1"/>
  <c r="E20" i="7"/>
  <c r="E29" i="1"/>
  <c r="F29" i="1" s="1"/>
  <c r="E21" i="7"/>
  <c r="E30" i="1"/>
  <c r="F30" i="1" s="1"/>
  <c r="E22" i="7"/>
  <c r="E31" i="1"/>
  <c r="F31" i="1" s="1"/>
  <c r="E23" i="7"/>
  <c r="E32" i="1"/>
  <c r="F32" i="1" s="1"/>
  <c r="E24" i="7"/>
  <c r="E33" i="1"/>
  <c r="F33" i="1" s="1"/>
  <c r="E25" i="7"/>
  <c r="E34" i="1"/>
  <c r="F34" i="1" s="1"/>
  <c r="E26" i="7"/>
  <c r="E35" i="1"/>
  <c r="F35" i="1" s="1"/>
  <c r="E27" i="7"/>
  <c r="E36" i="1"/>
  <c r="F36" i="1" s="1"/>
  <c r="E28" i="7"/>
  <c r="E37" i="1"/>
  <c r="F37" i="1" s="1"/>
  <c r="E29" i="7"/>
  <c r="E38" i="1"/>
  <c r="F38" i="1" s="1"/>
  <c r="E30" i="7"/>
  <c r="E39" i="1"/>
  <c r="F39" i="1" s="1"/>
  <c r="E31" i="7"/>
  <c r="E40" i="1"/>
  <c r="F40" i="1" s="1"/>
  <c r="E32" i="7"/>
  <c r="E41" i="1"/>
  <c r="F41" i="1" s="1"/>
  <c r="E33" i="7"/>
  <c r="E42" i="1"/>
  <c r="F42" i="1" s="1"/>
  <c r="H13" i="1"/>
  <c r="J13" i="1"/>
  <c r="Q13" i="1"/>
  <c r="B12" i="6" s="1"/>
  <c r="G22" i="1"/>
  <c r="G41" i="1"/>
  <c r="G37" i="1"/>
  <c r="K37" i="1" s="1"/>
  <c r="G33" i="1"/>
  <c r="G29" i="1"/>
  <c r="K29" i="1" s="1"/>
  <c r="G25" i="1"/>
  <c r="G21" i="1"/>
  <c r="K21" i="1" s="1"/>
  <c r="G17" i="1"/>
  <c r="G26" i="1"/>
  <c r="K26" i="1" s="1"/>
  <c r="G32" i="1"/>
  <c r="G16" i="1"/>
  <c r="G30" i="1"/>
  <c r="G15" i="1"/>
  <c r="X13" i="1" l="1"/>
  <c r="D13" i="6" s="1"/>
  <c r="P13" i="1"/>
  <c r="B11" i="6" s="1"/>
  <c r="K15" i="1"/>
  <c r="N13" i="1"/>
  <c r="L13" i="1"/>
  <c r="R13" i="1"/>
  <c r="B13" i="6" s="1"/>
  <c r="K17" i="1"/>
  <c r="G38" i="1"/>
  <c r="K30" i="1"/>
  <c r="K32" i="1"/>
  <c r="K25" i="1"/>
  <c r="K33" i="1"/>
  <c r="K41" i="1"/>
  <c r="K39" i="1"/>
  <c r="M41" i="1"/>
  <c r="L40" i="1"/>
  <c r="N38" i="1"/>
  <c r="N30" i="1"/>
  <c r="N26" i="1"/>
  <c r="N22" i="1"/>
  <c r="G14" i="1"/>
  <c r="K13" i="1"/>
  <c r="G40" i="1"/>
  <c r="M33" i="1"/>
  <c r="M17" i="1"/>
  <c r="N14" i="1"/>
  <c r="X39" i="1"/>
  <c r="D273" i="6" s="1"/>
  <c r="R39" i="1"/>
  <c r="B273" i="6" s="1"/>
  <c r="P39" i="1"/>
  <c r="B271" i="6" s="1"/>
  <c r="X38" i="1"/>
  <c r="I253" i="6" s="1"/>
  <c r="P38" i="1"/>
  <c r="G251" i="6" s="1"/>
  <c r="R38" i="1"/>
  <c r="G253" i="6" s="1"/>
  <c r="R32" i="1"/>
  <c r="G193" i="6" s="1"/>
  <c r="P32" i="1"/>
  <c r="G191" i="6" s="1"/>
  <c r="X32" i="1"/>
  <c r="I193" i="6" s="1"/>
  <c r="X31" i="1"/>
  <c r="D193" i="6" s="1"/>
  <c r="R31" i="1"/>
  <c r="B193" i="6" s="1"/>
  <c r="P31" i="1"/>
  <c r="B191" i="6" s="1"/>
  <c r="X25" i="1"/>
  <c r="D133" i="6" s="1"/>
  <c r="R25" i="1"/>
  <c r="B133" i="6" s="1"/>
  <c r="P25" i="1"/>
  <c r="B131" i="6" s="1"/>
  <c r="R24" i="1"/>
  <c r="G113" i="6" s="1"/>
  <c r="P24" i="1"/>
  <c r="G111" i="6" s="1"/>
  <c r="X24" i="1"/>
  <c r="I113" i="6" s="1"/>
  <c r="X18" i="1"/>
  <c r="I53" i="6" s="1"/>
  <c r="R18" i="1"/>
  <c r="G53" i="6" s="1"/>
  <c r="P18" i="1"/>
  <c r="G51" i="6" s="1"/>
  <c r="X15" i="1"/>
  <c r="R15" i="1"/>
  <c r="B33" i="6" s="1"/>
  <c r="P15" i="1"/>
  <c r="B31" i="6" s="1"/>
  <c r="E47" i="1"/>
  <c r="L53" i="1" s="1"/>
  <c r="X42" i="1"/>
  <c r="I293" i="6" s="1"/>
  <c r="R42" i="1"/>
  <c r="G293" i="6" s="1"/>
  <c r="P42" i="1"/>
  <c r="G291" i="6" s="1"/>
  <c r="X34" i="1"/>
  <c r="I213" i="6" s="1"/>
  <c r="P34" i="1"/>
  <c r="G211" i="6" s="1"/>
  <c r="R34" i="1"/>
  <c r="G213" i="6" s="1"/>
  <c r="X29" i="1"/>
  <c r="D173" i="6" s="1"/>
  <c r="R29" i="1"/>
  <c r="B173" i="6" s="1"/>
  <c r="P29" i="1"/>
  <c r="B171" i="6" s="1"/>
  <c r="X22" i="1"/>
  <c r="I93" i="6" s="1"/>
  <c r="P22" i="1"/>
  <c r="G91" i="6" s="1"/>
  <c r="R22" i="1"/>
  <c r="G93" i="6" s="1"/>
  <c r="X21" i="1"/>
  <c r="D93" i="6" s="1"/>
  <c r="P21" i="1"/>
  <c r="B91" i="6" s="1"/>
  <c r="R21" i="1"/>
  <c r="B93" i="6" s="1"/>
  <c r="X20" i="1"/>
  <c r="I73" i="6" s="1"/>
  <c r="P20" i="1"/>
  <c r="G71" i="6" s="1"/>
  <c r="R20" i="1"/>
  <c r="G73" i="6" s="1"/>
  <c r="P16" i="1"/>
  <c r="G31" i="6" s="1"/>
  <c r="X16" i="1"/>
  <c r="I33" i="6" s="1"/>
  <c r="R16" i="1"/>
  <c r="G33" i="6" s="1"/>
  <c r="R40" i="1"/>
  <c r="G273" i="6" s="1"/>
  <c r="P40" i="1"/>
  <c r="G271" i="6" s="1"/>
  <c r="X40" i="1"/>
  <c r="I273" i="6" s="1"/>
  <c r="X41" i="1"/>
  <c r="D293" i="6" s="1"/>
  <c r="R41" i="1"/>
  <c r="B293" i="6" s="1"/>
  <c r="P41" i="1"/>
  <c r="B291" i="6" s="1"/>
  <c r="X37" i="1"/>
  <c r="D253" i="6" s="1"/>
  <c r="R37" i="1"/>
  <c r="B253" i="6" s="1"/>
  <c r="P37" i="1"/>
  <c r="B251" i="6" s="1"/>
  <c r="X26" i="1"/>
  <c r="I133" i="6" s="1"/>
  <c r="P26" i="1"/>
  <c r="G131" i="6" s="1"/>
  <c r="R26" i="1"/>
  <c r="G133" i="6" s="1"/>
  <c r="X23" i="1"/>
  <c r="D113" i="6" s="1"/>
  <c r="R23" i="1"/>
  <c r="B113" i="6" s="1"/>
  <c r="P23" i="1"/>
  <c r="B111" i="6" s="1"/>
  <c r="X17" i="1"/>
  <c r="D53" i="6" s="1"/>
  <c r="R17" i="1"/>
  <c r="B53" i="6" s="1"/>
  <c r="P17" i="1"/>
  <c r="B51" i="6" s="1"/>
  <c r="X14" i="1"/>
  <c r="I13" i="6" s="1"/>
  <c r="R14" i="1"/>
  <c r="P14" i="1"/>
  <c r="I42" i="1"/>
  <c r="M42" i="1" s="1"/>
  <c r="Q42" i="1"/>
  <c r="G292" i="6" s="1"/>
  <c r="K40" i="1"/>
  <c r="K38" i="1"/>
  <c r="Q37" i="1"/>
  <c r="B252" i="6" s="1"/>
  <c r="J37" i="1"/>
  <c r="N37" i="1" s="1"/>
  <c r="H37" i="1"/>
  <c r="L37" i="1" s="1"/>
  <c r="I36" i="1"/>
  <c r="M36" i="1" s="1"/>
  <c r="Q36" i="1"/>
  <c r="G232" i="6" s="1"/>
  <c r="Q35" i="1"/>
  <c r="B232" i="6" s="1"/>
  <c r="J35" i="1"/>
  <c r="N35" i="1" s="1"/>
  <c r="H35" i="1"/>
  <c r="L35" i="1" s="1"/>
  <c r="I34" i="1"/>
  <c r="M34" i="1" s="1"/>
  <c r="Q34" i="1"/>
  <c r="G212" i="6" s="1"/>
  <c r="I32" i="1"/>
  <c r="M32" i="1" s="1"/>
  <c r="Q32" i="1"/>
  <c r="G192" i="6" s="1"/>
  <c r="Q31" i="1"/>
  <c r="B192" i="6" s="1"/>
  <c r="J31" i="1"/>
  <c r="N31" i="1" s="1"/>
  <c r="H31" i="1"/>
  <c r="L31" i="1" s="1"/>
  <c r="Q29" i="1"/>
  <c r="B172" i="6" s="1"/>
  <c r="J29" i="1"/>
  <c r="N29" i="1" s="1"/>
  <c r="H29" i="1"/>
  <c r="L29" i="1" s="1"/>
  <c r="I28" i="1"/>
  <c r="M28" i="1" s="1"/>
  <c r="Q28" i="1"/>
  <c r="G152" i="6" s="1"/>
  <c r="Q27" i="1"/>
  <c r="B152" i="6" s="1"/>
  <c r="J27" i="1"/>
  <c r="N27" i="1" s="1"/>
  <c r="H27" i="1"/>
  <c r="L27" i="1" s="1"/>
  <c r="Q25" i="1"/>
  <c r="B132" i="6" s="1"/>
  <c r="J25" i="1"/>
  <c r="N25" i="1" s="1"/>
  <c r="H25" i="1"/>
  <c r="L25" i="1" s="1"/>
  <c r="I24" i="1"/>
  <c r="M24" i="1" s="1"/>
  <c r="Q24" i="1"/>
  <c r="G112" i="6" s="1"/>
  <c r="Q23" i="1"/>
  <c r="B112" i="6" s="1"/>
  <c r="J23" i="1"/>
  <c r="N23" i="1" s="1"/>
  <c r="H23" i="1"/>
  <c r="L23" i="1" s="1"/>
  <c r="Q21" i="1"/>
  <c r="B92" i="6" s="1"/>
  <c r="J21" i="1"/>
  <c r="N21" i="1" s="1"/>
  <c r="H21" i="1"/>
  <c r="L21" i="1" s="1"/>
  <c r="I20" i="1"/>
  <c r="M20" i="1" s="1"/>
  <c r="Q20" i="1"/>
  <c r="G72" i="6" s="1"/>
  <c r="Q19" i="1"/>
  <c r="B72" i="6" s="1"/>
  <c r="J19" i="1"/>
  <c r="N19" i="1" s="1"/>
  <c r="H19" i="1"/>
  <c r="L19" i="1" s="1"/>
  <c r="I18" i="1"/>
  <c r="M18" i="1" s="1"/>
  <c r="Q18" i="1"/>
  <c r="G52" i="6" s="1"/>
  <c r="I16" i="1"/>
  <c r="M16" i="1" s="1"/>
  <c r="Q16" i="1"/>
  <c r="G32" i="6" s="1"/>
  <c r="K14" i="1"/>
  <c r="H36" i="1"/>
  <c r="L36" i="1" s="1"/>
  <c r="H32" i="1"/>
  <c r="L32" i="1" s="1"/>
  <c r="H28" i="1"/>
  <c r="L28" i="1" s="1"/>
  <c r="H24" i="1"/>
  <c r="L24" i="1" s="1"/>
  <c r="H20" i="1"/>
  <c r="L20" i="1" s="1"/>
  <c r="H16" i="1"/>
  <c r="L16" i="1" s="1"/>
  <c r="I37" i="1"/>
  <c r="M37" i="1" s="1"/>
  <c r="I29" i="1"/>
  <c r="M29" i="1" s="1"/>
  <c r="I25" i="1"/>
  <c r="M25" i="1" s="1"/>
  <c r="I21" i="1"/>
  <c r="M21" i="1" s="1"/>
  <c r="J42" i="1"/>
  <c r="N42" i="1" s="1"/>
  <c r="J34" i="1"/>
  <c r="N34" i="1" s="1"/>
  <c r="J18" i="1"/>
  <c r="N18" i="1" s="1"/>
  <c r="R28" i="1"/>
  <c r="G153" i="6" s="1"/>
  <c r="P28" i="1"/>
  <c r="G151" i="6" s="1"/>
  <c r="X28" i="1"/>
  <c r="I153" i="6" s="1"/>
  <c r="R36" i="1"/>
  <c r="G233" i="6" s="1"/>
  <c r="P36" i="1"/>
  <c r="G231" i="6" s="1"/>
  <c r="X36" i="1"/>
  <c r="I233" i="6" s="1"/>
  <c r="X27" i="1"/>
  <c r="D153" i="6" s="1"/>
  <c r="R27" i="1"/>
  <c r="B153" i="6" s="1"/>
  <c r="P27" i="1"/>
  <c r="B151" i="6" s="1"/>
  <c r="X35" i="1"/>
  <c r="D233" i="6" s="1"/>
  <c r="R35" i="1"/>
  <c r="B233" i="6" s="1"/>
  <c r="P35" i="1"/>
  <c r="B231" i="6" s="1"/>
  <c r="X33" i="1"/>
  <c r="D213" i="6" s="1"/>
  <c r="R33" i="1"/>
  <c r="B213" i="6" s="1"/>
  <c r="P33" i="1"/>
  <c r="B211" i="6" s="1"/>
  <c r="X30" i="1"/>
  <c r="I173" i="6" s="1"/>
  <c r="P30" i="1"/>
  <c r="G171" i="6" s="1"/>
  <c r="R30" i="1"/>
  <c r="G173" i="6" s="1"/>
  <c r="X19" i="1"/>
  <c r="D73" i="6" s="1"/>
  <c r="R19" i="1"/>
  <c r="B73" i="6" s="1"/>
  <c r="P19" i="1"/>
  <c r="B71" i="6" s="1"/>
  <c r="K16" i="1"/>
  <c r="K22" i="1"/>
  <c r="G42" i="1"/>
  <c r="K42" i="1" s="1"/>
  <c r="Q41" i="1"/>
  <c r="B292" i="6" s="1"/>
  <c r="J41" i="1"/>
  <c r="N41" i="1" s="1"/>
  <c r="H41" i="1"/>
  <c r="L41" i="1" s="1"/>
  <c r="I40" i="1"/>
  <c r="M40" i="1" s="1"/>
  <c r="Q40" i="1"/>
  <c r="G272" i="6" s="1"/>
  <c r="Q39" i="1"/>
  <c r="B272" i="6" s="1"/>
  <c r="J39" i="1"/>
  <c r="N39" i="1" s="1"/>
  <c r="H39" i="1"/>
  <c r="L39" i="1" s="1"/>
  <c r="I38" i="1"/>
  <c r="M38" i="1" s="1"/>
  <c r="Q38" i="1"/>
  <c r="G252" i="6" s="1"/>
  <c r="G36" i="1"/>
  <c r="K36" i="1" s="1"/>
  <c r="G35" i="1"/>
  <c r="K35" i="1" s="1"/>
  <c r="G34" i="1"/>
  <c r="K34" i="1" s="1"/>
  <c r="Q33" i="1"/>
  <c r="B212" i="6" s="1"/>
  <c r="J33" i="1"/>
  <c r="N33" i="1" s="1"/>
  <c r="H33" i="1"/>
  <c r="L33" i="1" s="1"/>
  <c r="G31" i="1"/>
  <c r="K31" i="1" s="1"/>
  <c r="I30" i="1"/>
  <c r="M30" i="1" s="1"/>
  <c r="Q30" i="1"/>
  <c r="G172" i="6" s="1"/>
  <c r="G28" i="1"/>
  <c r="K28" i="1" s="1"/>
  <c r="G27" i="1"/>
  <c r="K27" i="1" s="1"/>
  <c r="I26" i="1"/>
  <c r="M26" i="1" s="1"/>
  <c r="Q26" i="1"/>
  <c r="G132" i="6" s="1"/>
  <c r="G24" i="1"/>
  <c r="K24" i="1" s="1"/>
  <c r="G23" i="1"/>
  <c r="K23" i="1" s="1"/>
  <c r="I22" i="1"/>
  <c r="M22" i="1" s="1"/>
  <c r="Q22" i="1"/>
  <c r="G92" i="6" s="1"/>
  <c r="G20" i="1"/>
  <c r="K20" i="1" s="1"/>
  <c r="G19" i="1"/>
  <c r="K19" i="1" s="1"/>
  <c r="G18" i="1"/>
  <c r="K18" i="1" s="1"/>
  <c r="Q17" i="1"/>
  <c r="B52" i="6" s="1"/>
  <c r="J17" i="1"/>
  <c r="N17" i="1" s="1"/>
  <c r="H17" i="1"/>
  <c r="L17" i="1" s="1"/>
  <c r="Q15" i="1"/>
  <c r="B32" i="6" s="1"/>
  <c r="J15" i="1"/>
  <c r="N15" i="1" s="1"/>
  <c r="H15" i="1"/>
  <c r="L15" i="1" s="1"/>
  <c r="I14" i="1"/>
  <c r="M14" i="1" s="1"/>
  <c r="Q14" i="1"/>
  <c r="G12" i="6" s="1"/>
  <c r="I13" i="1"/>
  <c r="M13" i="1" s="1"/>
  <c r="O13" i="1" s="1"/>
  <c r="H42" i="1"/>
  <c r="L42" i="1" s="1"/>
  <c r="H38" i="1"/>
  <c r="L38" i="1" s="1"/>
  <c r="H34" i="1"/>
  <c r="L34" i="1" s="1"/>
  <c r="H30" i="1"/>
  <c r="L30" i="1" s="1"/>
  <c r="H26" i="1"/>
  <c r="L26" i="1" s="1"/>
  <c r="H22" i="1"/>
  <c r="L22" i="1" s="1"/>
  <c r="H18" i="1"/>
  <c r="L18" i="1" s="1"/>
  <c r="H14" i="1"/>
  <c r="L14" i="1" s="1"/>
  <c r="I39" i="1"/>
  <c r="M39" i="1" s="1"/>
  <c r="I35" i="1"/>
  <c r="M35" i="1" s="1"/>
  <c r="I31" i="1"/>
  <c r="M31" i="1" s="1"/>
  <c r="I27" i="1"/>
  <c r="M27" i="1" s="1"/>
  <c r="O27" i="1" s="1"/>
  <c r="I23" i="1"/>
  <c r="M23" i="1" s="1"/>
  <c r="I19" i="1"/>
  <c r="M19" i="1" s="1"/>
  <c r="I15" i="1"/>
  <c r="M15" i="1" s="1"/>
  <c r="J40" i="1"/>
  <c r="N40" i="1" s="1"/>
  <c r="J36" i="1"/>
  <c r="N36" i="1" s="1"/>
  <c r="J32" i="1"/>
  <c r="N32" i="1" s="1"/>
  <c r="J28" i="1"/>
  <c r="N28" i="1" s="1"/>
  <c r="J24" i="1"/>
  <c r="N24" i="1" s="1"/>
  <c r="J20" i="1"/>
  <c r="N20" i="1" s="1"/>
  <c r="J16" i="1"/>
  <c r="N16" i="1" s="1"/>
  <c r="O37" i="1"/>
  <c r="S37" i="1" s="1"/>
  <c r="O29" i="1"/>
  <c r="S29" i="1" s="1"/>
  <c r="O25" i="1"/>
  <c r="S25" i="1" s="1"/>
  <c r="O21" i="1"/>
  <c r="S21" i="1" s="1"/>
  <c r="B250" i="6"/>
  <c r="H51" i="1" l="1"/>
  <c r="O35" i="1"/>
  <c r="B230" i="6" s="1"/>
  <c r="O41" i="1"/>
  <c r="O19" i="1"/>
  <c r="B70" i="6" s="1"/>
  <c r="B90" i="6"/>
  <c r="S41" i="1"/>
  <c r="V41" i="1" s="1"/>
  <c r="D291" i="6" s="1"/>
  <c r="B290" i="6"/>
  <c r="O31" i="1"/>
  <c r="S31" i="1" s="1"/>
  <c r="O39" i="1"/>
  <c r="B150" i="6"/>
  <c r="S27" i="1"/>
  <c r="S35" i="1"/>
  <c r="B235" i="6" s="1"/>
  <c r="B130" i="6"/>
  <c r="O15" i="1"/>
  <c r="O23" i="1"/>
  <c r="B110" i="6" s="1"/>
  <c r="O17" i="1"/>
  <c r="O33" i="1"/>
  <c r="B210" i="6" s="1"/>
  <c r="S17" i="1"/>
  <c r="U17" i="1" s="1"/>
  <c r="D50" i="6" s="1"/>
  <c r="B50" i="6"/>
  <c r="S33" i="1"/>
  <c r="V33" i="1" s="1"/>
  <c r="D211" i="6" s="1"/>
  <c r="B170" i="6"/>
  <c r="B30" i="6"/>
  <c r="S15" i="1"/>
  <c r="S23" i="1"/>
  <c r="V23" i="1" s="1"/>
  <c r="D111" i="6" s="1"/>
  <c r="B190" i="6"/>
  <c r="S39" i="1"/>
  <c r="B275" i="6" s="1"/>
  <c r="B270" i="6"/>
  <c r="S13" i="1"/>
  <c r="B10" i="6"/>
  <c r="O14" i="1"/>
  <c r="O38" i="1"/>
  <c r="E50" i="1"/>
  <c r="O20" i="1"/>
  <c r="O24" i="1"/>
  <c r="O28" i="1"/>
  <c r="O32" i="1"/>
  <c r="O34" i="1"/>
  <c r="O42" i="1"/>
  <c r="G13" i="6"/>
  <c r="O22" i="1"/>
  <c r="O26" i="1"/>
  <c r="O30" i="1"/>
  <c r="O40" i="1"/>
  <c r="O16" i="1"/>
  <c r="O18" i="1"/>
  <c r="O36" i="1"/>
  <c r="G11" i="6"/>
  <c r="E49" i="1"/>
  <c r="D33" i="6"/>
  <c r="V15" i="1"/>
  <c r="D31" i="6" s="1"/>
  <c r="U15" i="1"/>
  <c r="D30" i="6" s="1"/>
  <c r="B35" i="6"/>
  <c r="W15" i="1"/>
  <c r="D32" i="6" s="1"/>
  <c r="T15" i="1"/>
  <c r="V17" i="1"/>
  <c r="D51" i="6" s="1"/>
  <c r="B55" i="6"/>
  <c r="T17" i="1"/>
  <c r="V21" i="1"/>
  <c r="D91" i="6" s="1"/>
  <c r="U21" i="1"/>
  <c r="D90" i="6" s="1"/>
  <c r="B95" i="6"/>
  <c r="W21" i="1"/>
  <c r="D92" i="6" s="1"/>
  <c r="T21" i="1"/>
  <c r="U23" i="1"/>
  <c r="D110" i="6" s="1"/>
  <c r="B135" i="6"/>
  <c r="V25" i="1"/>
  <c r="D131" i="6" s="1"/>
  <c r="U25" i="1"/>
  <c r="D130" i="6" s="1"/>
  <c r="W25" i="1"/>
  <c r="D132" i="6" s="1"/>
  <c r="T25" i="1"/>
  <c r="B155" i="6"/>
  <c r="V27" i="1"/>
  <c r="D151" i="6" s="1"/>
  <c r="U27" i="1"/>
  <c r="D150" i="6" s="1"/>
  <c r="W27" i="1"/>
  <c r="D152" i="6" s="1"/>
  <c r="T27" i="1"/>
  <c r="B175" i="6"/>
  <c r="V29" i="1"/>
  <c r="D171" i="6" s="1"/>
  <c r="U29" i="1"/>
  <c r="D170" i="6" s="1"/>
  <c r="W29" i="1"/>
  <c r="D172" i="6" s="1"/>
  <c r="T29" i="1"/>
  <c r="B215" i="6"/>
  <c r="U33" i="1"/>
  <c r="D210" i="6" s="1"/>
  <c r="T33" i="1"/>
  <c r="V35" i="1"/>
  <c r="D231" i="6" s="1"/>
  <c r="W35" i="1"/>
  <c r="D232" i="6" s="1"/>
  <c r="B255" i="6"/>
  <c r="V37" i="1"/>
  <c r="D251" i="6" s="1"/>
  <c r="U37" i="1"/>
  <c r="D250" i="6" s="1"/>
  <c r="W37" i="1"/>
  <c r="D252" i="6" s="1"/>
  <c r="T37" i="1"/>
  <c r="V39" i="1"/>
  <c r="D271" i="6" s="1"/>
  <c r="W39" i="1"/>
  <c r="D272" i="6" s="1"/>
  <c r="B295" i="6"/>
  <c r="U41" i="1"/>
  <c r="D290" i="6" s="1"/>
  <c r="T41" i="1"/>
  <c r="B195" i="6" l="1"/>
  <c r="U31" i="1"/>
  <c r="D190" i="6" s="1"/>
  <c r="T31" i="1"/>
  <c r="V31" i="1"/>
  <c r="D191" i="6" s="1"/>
  <c r="W31" i="1"/>
  <c r="D192" i="6" s="1"/>
  <c r="W41" i="1"/>
  <c r="D292" i="6" s="1"/>
  <c r="T39" i="1"/>
  <c r="U39" i="1"/>
  <c r="D270" i="6" s="1"/>
  <c r="T35" i="1"/>
  <c r="U35" i="1"/>
  <c r="D230" i="6" s="1"/>
  <c r="W33" i="1"/>
  <c r="D212" i="6" s="1"/>
  <c r="T23" i="1"/>
  <c r="D109" i="6" s="1"/>
  <c r="B115" i="6"/>
  <c r="W17" i="1"/>
  <c r="D52" i="6" s="1"/>
  <c r="S19" i="1"/>
  <c r="W23" i="1"/>
  <c r="D112" i="6" s="1"/>
  <c r="G230" i="6"/>
  <c r="S36" i="1"/>
  <c r="G30" i="6"/>
  <c r="S16" i="1"/>
  <c r="G170" i="6"/>
  <c r="S30" i="1"/>
  <c r="G90" i="6"/>
  <c r="S22" i="1"/>
  <c r="G210" i="6"/>
  <c r="S34" i="1"/>
  <c r="G150" i="6"/>
  <c r="S28" i="1"/>
  <c r="G70" i="6"/>
  <c r="S20" i="1"/>
  <c r="G250" i="6"/>
  <c r="S38" i="1"/>
  <c r="G50" i="6"/>
  <c r="S18" i="1"/>
  <c r="G270" i="6"/>
  <c r="S40" i="1"/>
  <c r="G130" i="6"/>
  <c r="S26" i="1"/>
  <c r="G290" i="6"/>
  <c r="S42" i="1"/>
  <c r="G190" i="6"/>
  <c r="S32" i="1"/>
  <c r="G110" i="6"/>
  <c r="S24" i="1"/>
  <c r="G10" i="6"/>
  <c r="S14" i="1"/>
  <c r="E52" i="1"/>
  <c r="B15" i="6"/>
  <c r="W13" i="1"/>
  <c r="D12" i="6" s="1"/>
  <c r="U13" i="1"/>
  <c r="T13" i="1"/>
  <c r="V13" i="1"/>
  <c r="D289" i="6"/>
  <c r="Y41" i="1"/>
  <c r="D269" i="6"/>
  <c r="Y39" i="1"/>
  <c r="D249" i="6"/>
  <c r="Y37" i="1"/>
  <c r="D229" i="6"/>
  <c r="Y35" i="1"/>
  <c r="D209" i="6"/>
  <c r="Y33" i="1"/>
  <c r="D189" i="6"/>
  <c r="Y31" i="1"/>
  <c r="D169" i="6"/>
  <c r="Y29" i="1"/>
  <c r="D149" i="6"/>
  <c r="Y27" i="1"/>
  <c r="D129" i="6"/>
  <c r="Y25" i="1"/>
  <c r="Y23" i="1"/>
  <c r="D89" i="6"/>
  <c r="Y21" i="1"/>
  <c r="D49" i="6"/>
  <c r="Y17" i="1"/>
  <c r="D29" i="6"/>
  <c r="Y15" i="1"/>
  <c r="D11" i="6" l="1"/>
  <c r="D10" i="6"/>
  <c r="L49" i="1"/>
  <c r="L47" i="1"/>
  <c r="L52" i="1" s="1"/>
  <c r="L48" i="1"/>
  <c r="L46" i="1"/>
  <c r="V19" i="1"/>
  <c r="D71" i="6" s="1"/>
  <c r="B75" i="6"/>
  <c r="T19" i="1"/>
  <c r="U19" i="1"/>
  <c r="D70" i="6" s="1"/>
  <c r="W19" i="1"/>
  <c r="D72" i="6" s="1"/>
  <c r="D9" i="6"/>
  <c r="Y13" i="1"/>
  <c r="L45" i="1"/>
  <c r="K54" i="1" s="1"/>
  <c r="V14" i="1"/>
  <c r="H49" i="1" s="1"/>
  <c r="U14" i="1"/>
  <c r="W14" i="1"/>
  <c r="G15" i="6"/>
  <c r="T14" i="1"/>
  <c r="H46" i="1" s="1"/>
  <c r="G115" i="6"/>
  <c r="W24" i="1"/>
  <c r="I112" i="6" s="1"/>
  <c r="T24" i="1"/>
  <c r="V24" i="1"/>
  <c r="I111" i="6" s="1"/>
  <c r="U24" i="1"/>
  <c r="I110" i="6" s="1"/>
  <c r="G195" i="6"/>
  <c r="T32" i="1"/>
  <c r="U32" i="1"/>
  <c r="I190" i="6" s="1"/>
  <c r="V32" i="1"/>
  <c r="I191" i="6" s="1"/>
  <c r="W32" i="1"/>
  <c r="I192" i="6" s="1"/>
  <c r="V42" i="1"/>
  <c r="I291" i="6" s="1"/>
  <c r="G295" i="6"/>
  <c r="U42" i="1"/>
  <c r="I290" i="6" s="1"/>
  <c r="W42" i="1"/>
  <c r="I292" i="6" s="1"/>
  <c r="T42" i="1"/>
  <c r="G135" i="6"/>
  <c r="T26" i="1"/>
  <c r="U26" i="1"/>
  <c r="I130" i="6" s="1"/>
  <c r="W26" i="1"/>
  <c r="I132" i="6" s="1"/>
  <c r="V26" i="1"/>
  <c r="I131" i="6" s="1"/>
  <c r="W40" i="1"/>
  <c r="I272" i="6" s="1"/>
  <c r="V40" i="1"/>
  <c r="I271" i="6" s="1"/>
  <c r="G275" i="6"/>
  <c r="T40" i="1"/>
  <c r="U40" i="1"/>
  <c r="I270" i="6" s="1"/>
  <c r="V18" i="1"/>
  <c r="I51" i="6" s="1"/>
  <c r="T18" i="1"/>
  <c r="U18" i="1"/>
  <c r="I50" i="6" s="1"/>
  <c r="W18" i="1"/>
  <c r="I52" i="6" s="1"/>
  <c r="G55" i="6"/>
  <c r="G255" i="6"/>
  <c r="T38" i="1"/>
  <c r="U38" i="1"/>
  <c r="I250" i="6" s="1"/>
  <c r="W38" i="1"/>
  <c r="I252" i="6" s="1"/>
  <c r="V38" i="1"/>
  <c r="I251" i="6" s="1"/>
  <c r="U20" i="1"/>
  <c r="I70" i="6" s="1"/>
  <c r="V20" i="1"/>
  <c r="I71" i="6" s="1"/>
  <c r="W20" i="1"/>
  <c r="I72" i="6" s="1"/>
  <c r="T20" i="1"/>
  <c r="G75" i="6"/>
  <c r="W28" i="1"/>
  <c r="I152" i="6" s="1"/>
  <c r="V28" i="1"/>
  <c r="I151" i="6" s="1"/>
  <c r="G155" i="6"/>
  <c r="T28" i="1"/>
  <c r="U28" i="1"/>
  <c r="I150" i="6" s="1"/>
  <c r="V34" i="1"/>
  <c r="I211" i="6" s="1"/>
  <c r="W34" i="1"/>
  <c r="I212" i="6" s="1"/>
  <c r="T34" i="1"/>
  <c r="G215" i="6"/>
  <c r="U34" i="1"/>
  <c r="I210" i="6" s="1"/>
  <c r="V22" i="1"/>
  <c r="I91" i="6" s="1"/>
  <c r="U22" i="1"/>
  <c r="I90" i="6" s="1"/>
  <c r="G95" i="6"/>
  <c r="W22" i="1"/>
  <c r="I92" i="6" s="1"/>
  <c r="T22" i="1"/>
  <c r="W30" i="1"/>
  <c r="I172" i="6" s="1"/>
  <c r="V30" i="1"/>
  <c r="I171" i="6" s="1"/>
  <c r="G175" i="6"/>
  <c r="T30" i="1"/>
  <c r="U30" i="1"/>
  <c r="I170" i="6" s="1"/>
  <c r="G35" i="6"/>
  <c r="W16" i="1"/>
  <c r="I32" i="6" s="1"/>
  <c r="V16" i="1"/>
  <c r="I31" i="6" s="1"/>
  <c r="U16" i="1"/>
  <c r="I30" i="6" s="1"/>
  <c r="T16" i="1"/>
  <c r="W36" i="1"/>
  <c r="I232" i="6" s="1"/>
  <c r="V36" i="1"/>
  <c r="I231" i="6" s="1"/>
  <c r="G235" i="6"/>
  <c r="T36" i="1"/>
  <c r="U36" i="1"/>
  <c r="I230" i="6" s="1"/>
  <c r="D35" i="6"/>
  <c r="Z15" i="1"/>
  <c r="D55" i="6"/>
  <c r="Z17" i="1"/>
  <c r="D58" i="6" s="1"/>
  <c r="D95" i="6"/>
  <c r="Z21" i="1"/>
  <c r="D98" i="6" s="1"/>
  <c r="D115" i="6"/>
  <c r="Z23" i="1"/>
  <c r="D118" i="6" s="1"/>
  <c r="D135" i="6"/>
  <c r="Z25" i="1"/>
  <c r="D138" i="6" s="1"/>
  <c r="D155" i="6"/>
  <c r="Z27" i="1"/>
  <c r="D158" i="6" s="1"/>
  <c r="D175" i="6"/>
  <c r="Z29" i="1"/>
  <c r="D178" i="6" s="1"/>
  <c r="D195" i="6"/>
  <c r="Z31" i="1"/>
  <c r="D198" i="6" s="1"/>
  <c r="D215" i="6"/>
  <c r="Z33" i="1"/>
  <c r="D218" i="6" s="1"/>
  <c r="D235" i="6"/>
  <c r="Z35" i="1"/>
  <c r="D238" i="6" s="1"/>
  <c r="D255" i="6"/>
  <c r="Z37" i="1"/>
  <c r="D258" i="6" s="1"/>
  <c r="D275" i="6"/>
  <c r="Z39" i="1"/>
  <c r="D278" i="6" s="1"/>
  <c r="D295" i="6"/>
  <c r="Z41" i="1"/>
  <c r="D298" i="6" s="1"/>
  <c r="H50" i="1" l="1"/>
  <c r="H52" i="1" s="1"/>
  <c r="D69" i="6"/>
  <c r="Y19" i="1"/>
  <c r="Y36" i="1"/>
  <c r="I229" i="6"/>
  <c r="Y16" i="1"/>
  <c r="I29" i="6"/>
  <c r="Y30" i="1"/>
  <c r="I169" i="6"/>
  <c r="I89" i="6"/>
  <c r="Y22" i="1"/>
  <c r="Y20" i="1"/>
  <c r="I69" i="6"/>
  <c r="Y18" i="1"/>
  <c r="I49" i="6"/>
  <c r="Y26" i="1"/>
  <c r="I129" i="6"/>
  <c r="I289" i="6"/>
  <c r="Y42" i="1"/>
  <c r="I189" i="6"/>
  <c r="Y32" i="1"/>
  <c r="I109" i="6"/>
  <c r="Y24" i="1"/>
  <c r="I10" i="6"/>
  <c r="Z13" i="1"/>
  <c r="D15" i="6"/>
  <c r="I209" i="6"/>
  <c r="Y34" i="1"/>
  <c r="Y28" i="1"/>
  <c r="I149" i="6"/>
  <c r="Y38" i="1"/>
  <c r="I249" i="6"/>
  <c r="Y40" i="1"/>
  <c r="I269" i="6"/>
  <c r="I9" i="6"/>
  <c r="Y14" i="1"/>
  <c r="I12" i="6"/>
  <c r="I11" i="6"/>
  <c r="D75" i="6" l="1"/>
  <c r="Z19" i="1"/>
  <c r="D78" i="6" s="1"/>
  <c r="I215" i="6"/>
  <c r="Z34" i="1"/>
  <c r="I218" i="6" s="1"/>
  <c r="I115" i="6"/>
  <c r="Z24" i="1"/>
  <c r="I118" i="6" s="1"/>
  <c r="Z32" i="1"/>
  <c r="I198" i="6" s="1"/>
  <c r="I195" i="6"/>
  <c r="Z42" i="1"/>
  <c r="I298" i="6" s="1"/>
  <c r="I295" i="6"/>
  <c r="Z22" i="1"/>
  <c r="I98" i="6" s="1"/>
  <c r="I95" i="6"/>
  <c r="Z14" i="1"/>
  <c r="I15" i="6"/>
  <c r="I275" i="6"/>
  <c r="Z40" i="1"/>
  <c r="I278" i="6" s="1"/>
  <c r="I255" i="6"/>
  <c r="Z38" i="1"/>
  <c r="I258" i="6" s="1"/>
  <c r="I155" i="6"/>
  <c r="Z28" i="1"/>
  <c r="I158" i="6" s="1"/>
  <c r="I135" i="6"/>
  <c r="Z26" i="1"/>
  <c r="I138" i="6" s="1"/>
  <c r="Z18" i="1"/>
  <c r="I58" i="6" s="1"/>
  <c r="I55" i="6"/>
  <c r="Z20" i="1"/>
  <c r="I78" i="6" s="1"/>
  <c r="I75" i="6"/>
  <c r="I175" i="6"/>
  <c r="Z30" i="1"/>
  <c r="I178" i="6" s="1"/>
  <c r="Z16" i="1"/>
  <c r="I35" i="6"/>
  <c r="I235" i="6"/>
  <c r="Z36" i="1"/>
  <c r="I238" i="6" s="1"/>
</calcChain>
</file>

<file path=xl/sharedStrings.xml><?xml version="1.0" encoding="utf-8"?>
<sst xmlns="http://schemas.openxmlformats.org/spreadsheetml/2006/main" count="797" uniqueCount="169">
  <si>
    <t>DIURNA</t>
  </si>
  <si>
    <t>NOCTURNA</t>
  </si>
  <si>
    <t>FESTIVA DIURNA</t>
  </si>
  <si>
    <t>FESTIVA NOCTURNA</t>
  </si>
  <si>
    <t>NÚMERO DE HORAS EXTRAS</t>
  </si>
  <si>
    <t>VALOR DE HORAS EXTRAS</t>
  </si>
  <si>
    <t>EPS</t>
  </si>
  <si>
    <t>FP</t>
  </si>
  <si>
    <t>FS</t>
  </si>
  <si>
    <t>APORTES</t>
  </si>
  <si>
    <t>VALOR</t>
  </si>
  <si>
    <t>COOPERATIVA</t>
  </si>
  <si>
    <t>SINDICATO</t>
  </si>
  <si>
    <t>DEDUCCIONES</t>
  </si>
  <si>
    <t>TOTALES</t>
  </si>
  <si>
    <t>DEVENGADOS</t>
  </si>
  <si>
    <t>EXTRAS</t>
  </si>
  <si>
    <t>TRANSPORTE</t>
  </si>
  <si>
    <t>COMISIÓN</t>
  </si>
  <si>
    <t>BONIFICACIÓN</t>
  </si>
  <si>
    <t>CESANTIAS</t>
  </si>
  <si>
    <t>APROPIACIONES</t>
  </si>
  <si>
    <t>PRIMAS</t>
  </si>
  <si>
    <t>VACACIONES</t>
  </si>
  <si>
    <t>SENA</t>
  </si>
  <si>
    <t>ICBF</t>
  </si>
  <si>
    <t>%</t>
  </si>
  <si>
    <t>SALARIO MINIMO</t>
  </si>
  <si>
    <t>% EPS EMPLEADO</t>
  </si>
  <si>
    <t>% FP EMPLEADO</t>
  </si>
  <si>
    <t>% FS</t>
  </si>
  <si>
    <t>VALOR VENTAS MES</t>
  </si>
  <si>
    <t>% COMISIÓN</t>
  </si>
  <si>
    <t>% COOPERATIVA</t>
  </si>
  <si>
    <t>% SINDICATO</t>
  </si>
  <si>
    <t>% BONIFICACIÓN</t>
  </si>
  <si>
    <t>OSERVACIONES</t>
  </si>
  <si>
    <t>BÁSICOMENSUAL</t>
  </si>
  <si>
    <t>NÚMERO CHEQUE</t>
  </si>
  <si>
    <t>BANCO</t>
  </si>
  <si>
    <t>TOTAL DEVENGADO</t>
  </si>
  <si>
    <t>TOTAL NETO PAGADO</t>
  </si>
  <si>
    <t>TOTAL DEDUCIDO</t>
  </si>
  <si>
    <t>TOTAL APROPIACIONES</t>
  </si>
  <si>
    <t>NÓMINA PARA EL PAGO DE SUELDOS</t>
  </si>
  <si>
    <t>Digitador</t>
  </si>
  <si>
    <t>Vendedor</t>
  </si>
  <si>
    <t>Operario</t>
  </si>
  <si>
    <t>Secretaria</t>
  </si>
  <si>
    <t>Aseadora</t>
  </si>
  <si>
    <t>Gerente</t>
  </si>
  <si>
    <t>Auxiliar Contable</t>
  </si>
  <si>
    <t>Digitadora</t>
  </si>
  <si>
    <t>Ángela María Hernández</t>
  </si>
  <si>
    <t>Yohiner Tangarife</t>
  </si>
  <si>
    <t>Eliana Marcela Aguirre</t>
  </si>
  <si>
    <t>Luz Enith Betancur</t>
  </si>
  <si>
    <t>Claudia González</t>
  </si>
  <si>
    <t>Camilo Ceballos</t>
  </si>
  <si>
    <t>Hernán Darío Hernández</t>
  </si>
  <si>
    <t>Yuliana Cardona</t>
  </si>
  <si>
    <t>Mónica Yurany Giraldo</t>
  </si>
  <si>
    <t>Andrés Felipe Ramírez</t>
  </si>
  <si>
    <t>Maricela López</t>
  </si>
  <si>
    <t>Leidy Rosalía Galvis</t>
  </si>
  <si>
    <t>Leidy Maritza Herrera</t>
  </si>
  <si>
    <t>Carlos Andrés Giraldo</t>
  </si>
  <si>
    <t>Yeisón Fernando García</t>
  </si>
  <si>
    <t>Carlos Mario Quiroz</t>
  </si>
  <si>
    <t>Didier Alejandro Sánchez</t>
  </si>
  <si>
    <t>Luis Fernando Vanegas</t>
  </si>
  <si>
    <t>Doralba Galeano</t>
  </si>
  <si>
    <t>Francy Ruby Román</t>
  </si>
  <si>
    <t>Martha Deisy Ceballos</t>
  </si>
  <si>
    <t>Sandra Marcela Rojas</t>
  </si>
  <si>
    <t>Mauricio Alzate</t>
  </si>
  <si>
    <t>Nayibet Galvis</t>
  </si>
  <si>
    <t>Dora Luz Montoya</t>
  </si>
  <si>
    <t>Carolina Rodríguez</t>
  </si>
  <si>
    <t>Patricia Rodriguez</t>
  </si>
  <si>
    <t>DATOS HORAS EXTRAS</t>
  </si>
  <si>
    <t>Extra Diurna</t>
  </si>
  <si>
    <t>Extra Nocturna</t>
  </si>
  <si>
    <t>Extra Festiva Duirna</t>
  </si>
  <si>
    <t>Extra Festiva Nocturna</t>
  </si>
  <si>
    <t>Diana López</t>
  </si>
  <si>
    <t>FESTIVA  NOCTURNA</t>
  </si>
  <si>
    <t>FESTIVA  DIURNA</t>
  </si>
  <si>
    <t>DATOS BÁSICOS PARA LIQUIDAR LA NÓMINA</t>
  </si>
  <si>
    <t>BANCOLOMBIA</t>
  </si>
  <si>
    <t>0001-256548-454652</t>
  </si>
  <si>
    <t xml:space="preserve">NOMBRE </t>
  </si>
  <si>
    <t>DEL</t>
  </si>
  <si>
    <t>EMPLEADO</t>
  </si>
  <si>
    <t>CARGO</t>
  </si>
  <si>
    <t xml:space="preserve">DEL </t>
  </si>
  <si>
    <t>NÚMERO</t>
  </si>
  <si>
    <t xml:space="preserve">DE </t>
  </si>
  <si>
    <t>DÍAS</t>
  </si>
  <si>
    <t>BÁSICO</t>
  </si>
  <si>
    <t>DIARIO</t>
  </si>
  <si>
    <t xml:space="preserve">BÁSICO </t>
  </si>
  <si>
    <t>MENSUAL</t>
  </si>
  <si>
    <t>TOTAL</t>
  </si>
  <si>
    <t>AUXILIO</t>
  </si>
  <si>
    <t>NETO</t>
  </si>
  <si>
    <t>PAGADO</t>
  </si>
  <si>
    <t>BÁSICO MENSUAL</t>
  </si>
  <si>
    <t>TOTAL EXTRAS</t>
  </si>
  <si>
    <t xml:space="preserve"> TRANSPORTE</t>
  </si>
  <si>
    <t xml:space="preserve"> COMISIÓN</t>
  </si>
  <si>
    <t xml:space="preserve"> BONIFICACIÓN</t>
  </si>
  <si>
    <t xml:space="preserve"> DEVENGADO</t>
  </si>
  <si>
    <t xml:space="preserve"> EPS</t>
  </si>
  <si>
    <t xml:space="preserve"> FP</t>
  </si>
  <si>
    <t xml:space="preserve"> FS</t>
  </si>
  <si>
    <t xml:space="preserve"> COOPERATIVA</t>
  </si>
  <si>
    <t xml:space="preserve"> SINDICATO</t>
  </si>
  <si>
    <t xml:space="preserve"> DEDUCCIONES</t>
  </si>
  <si>
    <t>NETO PAGADO</t>
  </si>
  <si>
    <t>NOMBRE DEL EMPLEADO</t>
  </si>
  <si>
    <t>Liliana Ríos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</si>
  <si>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</si>
  <si>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</si>
  <si>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</si>
  <si>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</si>
  <si>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</si>
  <si>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</si>
  <si>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</si>
  <si>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</si>
  <si>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</si>
  <si>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</si>
  <si>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</si>
  <si>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</si>
  <si>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</si>
  <si>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</si>
  <si>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</si>
  <si>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</si>
  <si>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</si>
  <si>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</si>
  <si>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</si>
  <si>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</si>
  <si>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</si>
  <si>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</si>
  <si>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</si>
  <si>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</si>
  <si>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</si>
  <si>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</si>
  <si>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</si>
  <si>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</si>
  <si>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</si>
  <si>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</si>
  <si>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COLILLA DE PAGO</t>
  </si>
  <si>
    <t>LEONISA INTERNACIONAL</t>
  </si>
  <si>
    <t>CODIGO DEL EMPLEADO</t>
  </si>
  <si>
    <t>Ospina Borja Pedro Nel</t>
  </si>
  <si>
    <t>CODIGO</t>
  </si>
  <si>
    <t>AL_______________31 DE OCTUBRE_______________________________________________</t>
  </si>
  <si>
    <t xml:space="preserve">PERIODO DE PAGO DEL________01_____________ </t>
  </si>
  <si>
    <t>Codigo del 
Empleado</t>
  </si>
  <si>
    <t>Nombre del Empleado</t>
  </si>
  <si>
    <t>Cargo del Empleado</t>
  </si>
  <si>
    <t>Salario Basico</t>
  </si>
  <si>
    <t>Salario Diario</t>
  </si>
  <si>
    <t>TOTAL
DEVENGADO</t>
  </si>
  <si>
    <t>PAGO DEL 1 AL 30 DE MAYO</t>
  </si>
  <si>
    <t>Operaria</t>
  </si>
  <si>
    <t>INTERESES CESANTIAS</t>
  </si>
  <si>
    <t>CAJA DE COMPENSACIÓN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</si>
</sst>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0.0%"/>
    <numFmt numFmtId="166" formatCode="_(&quot;$&quot;* #,##0_);_(&quot;$&quot;* \(#,##0\);_(&quot;$&quot;* &quot;-&quot;??_);_(@_)"/>
  </numFmts>
  <fonts count="17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8"/>
      <name val="Times New Roman"/>
      <family val="1"/>
    </font>
    <font>
      <b/>
      <sz val="14"/>
      <name val="Verdana"/>
      <family val="2"/>
    </font>
    <font>
      <b/>
      <sz val="8"/>
      <name val="Verdana"/>
      <family val="2"/>
    </font>
    <font>
      <sz val="10"/>
      <name val="Tahoma"/>
      <family val="2"/>
    </font>
    <font>
      <b/>
      <sz val="10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2"/>
      <color indexed="18"/>
      <name val="Tahoma"/>
      <family val="2"/>
    </font>
    <font>
      <sz val="10"/>
      <color indexed="21"/>
      <name val="Tahoma"/>
      <family val="2"/>
    </font>
    <font>
      <b/>
      <sz val="14"/>
      <color indexed="10"/>
      <name val="Tahoma"/>
      <family val="2"/>
    </font>
    <font>
      <b/>
      <sz val="12"/>
      <name val="Tahoma"/>
      <family val="2"/>
    </font>
    <font>
      <sz val="8"/>
      <color rgb="FFFF0000"/>
      <name val="Times New Roman"/>
      <family val="1"/>
    </font>
    <font>
      <b/>
      <sz val="1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12"/>
      </right>
      <top style="thick">
        <color indexed="64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12"/>
      </right>
      <top style="thick">
        <color indexed="64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64"/>
      </top>
      <bottom style="medium">
        <color indexed="12"/>
      </bottom>
      <diagonal/>
    </border>
    <border>
      <left style="medium">
        <color indexed="12"/>
      </left>
      <right style="thick">
        <color indexed="64"/>
      </right>
      <top style="thick">
        <color indexed="64"/>
      </top>
      <bottom style="medium">
        <color indexed="12"/>
      </bottom>
      <diagonal/>
    </border>
    <border>
      <left style="thick">
        <color indexed="64"/>
      </left>
      <right style="medium">
        <color indexed="12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2"/>
      </bottom>
      <diagonal/>
    </border>
    <border>
      <left style="thick">
        <color indexed="64"/>
      </left>
      <right style="thick">
        <color indexed="64"/>
      </right>
      <top style="medium">
        <color indexed="12"/>
      </top>
      <bottom style="thick">
        <color indexed="64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/>
      <top/>
      <bottom/>
      <diagonal/>
    </border>
    <border>
      <left style="thick">
        <color indexed="64"/>
      </left>
      <right style="medium">
        <color indexed="12"/>
      </right>
      <top style="thick">
        <color indexed="64"/>
      </top>
      <bottom/>
      <diagonal/>
    </border>
    <border>
      <left style="medium">
        <color indexed="12"/>
      </left>
      <right style="medium">
        <color indexed="12"/>
      </right>
      <top style="thick">
        <color indexed="64"/>
      </top>
      <bottom/>
      <diagonal/>
    </border>
    <border>
      <left style="medium">
        <color indexed="12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12"/>
      </right>
      <top style="thick">
        <color indexed="64"/>
      </top>
      <bottom style="thick">
        <color indexed="64"/>
      </bottom>
      <diagonal/>
    </border>
    <border>
      <left style="thin">
        <color indexed="1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/>
      <bottom style="medium">
        <color indexed="1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6" fillId="0" borderId="0" xfId="0" applyFont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4" fontId="6" fillId="0" borderId="1" xfId="1" applyFont="1" applyBorder="1"/>
    <xf numFmtId="166" fontId="6" fillId="0" borderId="1" xfId="1" applyNumberFormat="1" applyFont="1" applyBorder="1"/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164" fontId="6" fillId="0" borderId="2" xfId="1" applyFont="1" applyBorder="1"/>
    <xf numFmtId="166" fontId="6" fillId="0" borderId="2" xfId="1" applyNumberFormat="1" applyFont="1" applyBorder="1"/>
    <xf numFmtId="164" fontId="6" fillId="0" borderId="0" xfId="1" applyFont="1"/>
    <xf numFmtId="0" fontId="11" fillId="2" borderId="3" xfId="0" applyFont="1" applyFill="1" applyBorder="1"/>
    <xf numFmtId="0" fontId="11" fillId="2" borderId="4" xfId="0" applyFont="1" applyFill="1" applyBorder="1"/>
    <xf numFmtId="0" fontId="11" fillId="3" borderId="5" xfId="0" applyFont="1" applyFill="1" applyBorder="1"/>
    <xf numFmtId="166" fontId="6" fillId="3" borderId="6" xfId="1" applyNumberFormat="1" applyFont="1" applyFill="1" applyBorder="1"/>
    <xf numFmtId="0" fontId="11" fillId="3" borderId="7" xfId="0" applyFont="1" applyFill="1" applyBorder="1"/>
    <xf numFmtId="0" fontId="11" fillId="3" borderId="6" xfId="0" applyFont="1" applyFill="1" applyBorder="1"/>
    <xf numFmtId="0" fontId="11" fillId="3" borderId="8" xfId="0" applyFont="1" applyFill="1" applyBorder="1"/>
    <xf numFmtId="0" fontId="11" fillId="3" borderId="9" xfId="0" applyFont="1" applyFill="1" applyBorder="1"/>
    <xf numFmtId="0" fontId="11" fillId="3" borderId="4" xfId="0" applyFont="1" applyFill="1" applyBorder="1"/>
    <xf numFmtId="0" fontId="6" fillId="3" borderId="9" xfId="0" applyFont="1" applyFill="1" applyBorder="1"/>
    <xf numFmtId="0" fontId="6" fillId="3" borderId="0" xfId="0" applyFont="1" applyFill="1" applyBorder="1"/>
    <xf numFmtId="0" fontId="11" fillId="3" borderId="3" xfId="0" applyFont="1" applyFill="1" applyBorder="1"/>
    <xf numFmtId="0" fontId="11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13" fillId="4" borderId="6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0" xfId="0" applyFont="1" applyFill="1"/>
    <xf numFmtId="0" fontId="2" fillId="0" borderId="16" xfId="0" applyFont="1" applyFill="1" applyBorder="1"/>
    <xf numFmtId="0" fontId="2" fillId="0" borderId="0" xfId="0" applyFont="1" applyFill="1" applyBorder="1"/>
    <xf numFmtId="0" fontId="2" fillId="0" borderId="17" xfId="0" applyFont="1" applyFill="1" applyBorder="1"/>
    <xf numFmtId="0" fontId="3" fillId="0" borderId="16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18" xfId="0" applyFont="1" applyFill="1" applyBorder="1"/>
    <xf numFmtId="0" fontId="2" fillId="0" borderId="19" xfId="0" applyFont="1" applyFill="1" applyBorder="1"/>
    <xf numFmtId="0" fontId="2" fillId="0" borderId="20" xfId="0" applyFont="1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left"/>
    </xf>
    <xf numFmtId="0" fontId="2" fillId="0" borderId="26" xfId="0" applyFont="1" applyFill="1" applyBorder="1"/>
    <xf numFmtId="0" fontId="2" fillId="0" borderId="26" xfId="0" applyFont="1" applyFill="1" applyBorder="1" applyAlignment="1">
      <alignment horizontal="center"/>
    </xf>
    <xf numFmtId="166" fontId="2" fillId="0" borderId="26" xfId="1" applyNumberFormat="1" applyFont="1" applyFill="1" applyBorder="1"/>
    <xf numFmtId="166" fontId="2" fillId="0" borderId="26" xfId="0" applyNumberFormat="1" applyFont="1" applyFill="1" applyBorder="1"/>
    <xf numFmtId="49" fontId="2" fillId="0" borderId="27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9" fontId="2" fillId="0" borderId="24" xfId="0" applyNumberFormat="1" applyFont="1" applyFill="1" applyBorder="1" applyAlignment="1">
      <alignment horizontal="center"/>
    </xf>
    <xf numFmtId="166" fontId="2" fillId="0" borderId="24" xfId="1" applyNumberFormat="1" applyFont="1" applyFill="1" applyBorder="1"/>
    <xf numFmtId="166" fontId="2" fillId="0" borderId="25" xfId="0" applyNumberFormat="1" applyFont="1" applyFill="1" applyBorder="1"/>
    <xf numFmtId="166" fontId="2" fillId="0" borderId="24" xfId="0" applyNumberFormat="1" applyFont="1" applyFill="1" applyBorder="1"/>
    <xf numFmtId="10" fontId="2" fillId="0" borderId="24" xfId="0" applyNumberFormat="1" applyFont="1" applyFill="1" applyBorder="1" applyAlignment="1">
      <alignment horizontal="center"/>
    </xf>
    <xf numFmtId="1" fontId="3" fillId="0" borderId="24" xfId="0" applyNumberFormat="1" applyFont="1" applyFill="1" applyBorder="1"/>
    <xf numFmtId="165" fontId="2" fillId="0" borderId="24" xfId="2" applyNumberFormat="1" applyFont="1" applyFill="1" applyBorder="1" applyAlignment="1">
      <alignment horizontal="center"/>
    </xf>
    <xf numFmtId="165" fontId="2" fillId="0" borderId="24" xfId="0" applyNumberFormat="1" applyFont="1" applyFill="1" applyBorder="1" applyAlignment="1">
      <alignment horizontal="center"/>
    </xf>
    <xf numFmtId="166" fontId="2" fillId="0" borderId="0" xfId="0" applyNumberFormat="1" applyFont="1" applyFill="1"/>
    <xf numFmtId="166" fontId="6" fillId="3" borderId="6" xfId="1" applyNumberFormat="1" applyFont="1" applyFill="1" applyBorder="1" applyAlignment="1">
      <alignment horizontal="center"/>
    </xf>
    <xf numFmtId="166" fontId="6" fillId="3" borderId="0" xfId="1" applyNumberFormat="1" applyFont="1" applyFill="1" applyBorder="1"/>
    <xf numFmtId="166" fontId="12" fillId="3" borderId="0" xfId="1" applyNumberFormat="1" applyFont="1" applyFill="1" applyBorder="1"/>
    <xf numFmtId="166" fontId="12" fillId="3" borderId="12" xfId="1" applyNumberFormat="1" applyFont="1" applyFill="1" applyBorder="1"/>
    <xf numFmtId="166" fontId="12" fillId="0" borderId="0" xfId="1" applyNumberFormat="1" applyFont="1" applyBorder="1"/>
    <xf numFmtId="166" fontId="6" fillId="0" borderId="0" xfId="1" applyNumberFormat="1" applyFont="1"/>
    <xf numFmtId="166" fontId="6" fillId="3" borderId="11" xfId="1" applyNumberFormat="1" applyFont="1" applyFill="1" applyBorder="1" applyAlignment="1">
      <alignment horizontal="center"/>
    </xf>
    <xf numFmtId="166" fontId="6" fillId="3" borderId="28" xfId="1" applyNumberFormat="1" applyFont="1" applyFill="1" applyBorder="1"/>
    <xf numFmtId="166" fontId="6" fillId="3" borderId="29" xfId="1" applyNumberFormat="1" applyFont="1" applyFill="1" applyBorder="1"/>
    <xf numFmtId="166" fontId="14" fillId="4" borderId="30" xfId="1" applyNumberFormat="1" applyFont="1" applyFill="1" applyBorder="1" applyAlignment="1">
      <alignment horizontal="center"/>
    </xf>
    <xf numFmtId="166" fontId="15" fillId="0" borderId="26" xfId="1" applyNumberFormat="1" applyFont="1" applyFill="1" applyBorder="1"/>
    <xf numFmtId="9" fontId="2" fillId="0" borderId="13" xfId="0" applyNumberFormat="1" applyFont="1" applyFill="1" applyBorder="1" applyAlignment="1">
      <alignment horizontal="center"/>
    </xf>
    <xf numFmtId="166" fontId="2" fillId="0" borderId="13" xfId="0" applyNumberFormat="1" applyFont="1" applyFill="1" applyBorder="1"/>
    <xf numFmtId="166" fontId="2" fillId="0" borderId="18" xfId="0" applyNumberFormat="1" applyFont="1" applyFill="1" applyBorder="1"/>
    <xf numFmtId="9" fontId="2" fillId="0" borderId="25" xfId="2" applyFont="1" applyFill="1" applyBorder="1" applyAlignment="1">
      <alignment horizontal="center"/>
    </xf>
    <xf numFmtId="166" fontId="2" fillId="0" borderId="21" xfId="1" applyNumberFormat="1" applyFont="1" applyFill="1" applyBorder="1"/>
    <xf numFmtId="166" fontId="2" fillId="0" borderId="6" xfId="1" applyNumberFormat="1" applyFont="1" applyFill="1" applyBorder="1"/>
    <xf numFmtId="0" fontId="16" fillId="0" borderId="0" xfId="0" applyFont="1" applyAlignment="1">
      <alignment horizontal="left" vertical="center" readingOrder="1"/>
    </xf>
    <xf numFmtId="0" fontId="7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31" xfId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66" fontId="3" fillId="0" borderId="34" xfId="0" applyNumberFormat="1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10" fontId="2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10" fontId="2" fillId="0" borderId="24" xfId="0" applyNumberFormat="1" applyFont="1" applyFill="1" applyBorder="1" applyAlignment="1">
      <alignment horizontal="right"/>
    </xf>
    <xf numFmtId="0" fontId="3" fillId="0" borderId="5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9" fontId="2" fillId="0" borderId="24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right"/>
    </xf>
    <xf numFmtId="166" fontId="2" fillId="0" borderId="24" xfId="1" applyNumberFormat="1" applyFont="1" applyFill="1" applyBorder="1" applyAlignment="1">
      <alignment horizontal="right"/>
    </xf>
    <xf numFmtId="0" fontId="3" fillId="0" borderId="32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35" xfId="0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right" vertical="center" wrapText="1"/>
    </xf>
    <xf numFmtId="0" fontId="3" fillId="0" borderId="39" xfId="0" applyFont="1" applyFill="1" applyBorder="1" applyAlignment="1">
      <alignment horizontal="right" vertical="center" wrapText="1"/>
    </xf>
    <xf numFmtId="166" fontId="3" fillId="0" borderId="21" xfId="0" applyNumberFormat="1" applyFont="1" applyFill="1" applyBorder="1" applyAlignment="1">
      <alignment horizontal="center" vertical="center" wrapText="1"/>
    </xf>
    <xf numFmtId="166" fontId="3" fillId="0" borderId="23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66" fontId="3" fillId="0" borderId="34" xfId="0" applyNumberFormat="1" applyFont="1" applyFill="1" applyBorder="1" applyAlignment="1">
      <alignment horizontal="center" vertical="center" wrapText="1"/>
    </xf>
    <xf numFmtId="166" fontId="3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/>
    </xf>
    <xf numFmtId="0" fontId="3" fillId="0" borderId="7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166" fontId="2" fillId="0" borderId="52" xfId="0" applyNumberFormat="1" applyFont="1" applyFill="1" applyBorder="1" applyAlignment="1">
      <alignment horizontal="center" vertical="center"/>
    </xf>
    <xf numFmtId="166" fontId="2" fillId="0" borderId="29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/>
    </xf>
    <xf numFmtId="0" fontId="3" fillId="0" borderId="49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49" fontId="6" fillId="2" borderId="51" xfId="0" applyNumberFormat="1" applyFont="1" applyFill="1" applyBorder="1" applyAlignment="1">
      <alignment horizontal="center"/>
    </xf>
    <xf numFmtId="49" fontId="6" fillId="2" borderId="52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51" xfId="0" applyFont="1" applyFill="1" applyBorder="1" applyAlignment="1">
      <alignment horizontal="center"/>
    </xf>
    <xf numFmtId="0" fontId="6" fillId="5" borderId="52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6" workbookViewId="0">
      <selection activeCell="D35" sqref="D35"/>
    </sheetView>
  </sheetViews>
  <sheetFormatPr baseColWidth="10" defaultRowHeight="12.75" x14ac:dyDescent="0.2"/>
  <cols>
    <col min="1" max="1" width="12.85546875" style="1" customWidth="1"/>
    <col min="2" max="2" width="21" style="1" customWidth="1"/>
    <col min="3" max="3" width="19.140625" style="1" bestFit="1" customWidth="1"/>
    <col min="4" max="4" width="14.140625" style="12" bestFit="1" customWidth="1"/>
    <col min="5" max="5" width="10.85546875" style="1" customWidth="1"/>
    <col min="6" max="16384" width="11.42578125" style="1"/>
  </cols>
  <sheetData>
    <row r="1" spans="1:5" x14ac:dyDescent="0.2">
      <c r="A1" s="85" t="s">
        <v>159</v>
      </c>
      <c r="B1" s="85" t="s">
        <v>160</v>
      </c>
      <c r="C1" s="85" t="s">
        <v>161</v>
      </c>
      <c r="D1" s="87" t="s">
        <v>162</v>
      </c>
      <c r="E1" s="85" t="s">
        <v>163</v>
      </c>
    </row>
    <row r="2" spans="1:5" x14ac:dyDescent="0.2">
      <c r="A2" s="86"/>
      <c r="B2" s="86"/>
      <c r="C2" s="86"/>
      <c r="D2" s="88"/>
      <c r="E2" s="86"/>
    </row>
    <row r="3" spans="1:5" x14ac:dyDescent="0.2">
      <c r="A3" s="86"/>
      <c r="B3" s="86"/>
      <c r="C3" s="86"/>
      <c r="D3" s="88"/>
      <c r="E3" s="86"/>
    </row>
    <row r="4" spans="1:5" x14ac:dyDescent="0.2">
      <c r="A4" s="2" t="s">
        <v>122</v>
      </c>
      <c r="B4" s="3" t="s">
        <v>155</v>
      </c>
      <c r="C4" s="4" t="s">
        <v>45</v>
      </c>
      <c r="D4" s="5">
        <v>700000</v>
      </c>
      <c r="E4" s="6">
        <f>D4/30</f>
        <v>23333.333333333332</v>
      </c>
    </row>
    <row r="5" spans="1:5" x14ac:dyDescent="0.2">
      <c r="A5" s="2" t="s">
        <v>123</v>
      </c>
      <c r="B5" s="3" t="s">
        <v>62</v>
      </c>
      <c r="C5" s="4" t="s">
        <v>46</v>
      </c>
      <c r="D5" s="5">
        <v>620000</v>
      </c>
      <c r="E5" s="6">
        <f t="shared" ref="E5:E33" si="0">D5/30</f>
        <v>20666.666666666668</v>
      </c>
    </row>
    <row r="6" spans="1:5" x14ac:dyDescent="0.2">
      <c r="A6" s="2" t="s">
        <v>124</v>
      </c>
      <c r="B6" s="3" t="s">
        <v>53</v>
      </c>
      <c r="C6" s="4" t="s">
        <v>51</v>
      </c>
      <c r="D6" s="5">
        <v>900000</v>
      </c>
      <c r="E6" s="6">
        <f t="shared" si="0"/>
        <v>30000</v>
      </c>
    </row>
    <row r="7" spans="1:5" x14ac:dyDescent="0.2">
      <c r="A7" s="2" t="s">
        <v>125</v>
      </c>
      <c r="B7" s="3" t="s">
        <v>58</v>
      </c>
      <c r="C7" s="4" t="s">
        <v>47</v>
      </c>
      <c r="D7" s="5">
        <v>616000</v>
      </c>
      <c r="E7" s="6">
        <f t="shared" si="0"/>
        <v>20533.333333333332</v>
      </c>
    </row>
    <row r="8" spans="1:5" x14ac:dyDescent="0.2">
      <c r="A8" s="2" t="s">
        <v>126</v>
      </c>
      <c r="B8" s="3" t="s">
        <v>66</v>
      </c>
      <c r="C8" s="4" t="s">
        <v>48</v>
      </c>
      <c r="D8" s="5">
        <v>750000</v>
      </c>
      <c r="E8" s="6">
        <f t="shared" si="0"/>
        <v>25000</v>
      </c>
    </row>
    <row r="9" spans="1:5" x14ac:dyDescent="0.2">
      <c r="A9" s="2" t="s">
        <v>127</v>
      </c>
      <c r="B9" s="3" t="s">
        <v>68</v>
      </c>
      <c r="C9" s="4" t="s">
        <v>46</v>
      </c>
      <c r="D9" s="5">
        <v>620000</v>
      </c>
      <c r="E9" s="6">
        <f t="shared" si="0"/>
        <v>20666.666666666668</v>
      </c>
    </row>
    <row r="10" spans="1:5" x14ac:dyDescent="0.2">
      <c r="A10" s="2" t="s">
        <v>128</v>
      </c>
      <c r="B10" s="3" t="s">
        <v>78</v>
      </c>
      <c r="C10" s="4" t="s">
        <v>49</v>
      </c>
      <c r="D10" s="5">
        <v>616000</v>
      </c>
      <c r="E10" s="6">
        <f t="shared" si="0"/>
        <v>20533.333333333332</v>
      </c>
    </row>
    <row r="11" spans="1:5" x14ac:dyDescent="0.2">
      <c r="A11" s="2" t="s">
        <v>129</v>
      </c>
      <c r="B11" s="3" t="s">
        <v>57</v>
      </c>
      <c r="C11" s="4" t="s">
        <v>46</v>
      </c>
      <c r="D11" s="5">
        <v>620000</v>
      </c>
      <c r="E11" s="6">
        <f t="shared" si="0"/>
        <v>20666.666666666668</v>
      </c>
    </row>
    <row r="12" spans="1:5" x14ac:dyDescent="0.2">
      <c r="A12" s="2" t="s">
        <v>130</v>
      </c>
      <c r="B12" s="3" t="s">
        <v>85</v>
      </c>
      <c r="C12" s="4" t="s">
        <v>48</v>
      </c>
      <c r="D12" s="5">
        <v>750000</v>
      </c>
      <c r="E12" s="6">
        <f t="shared" si="0"/>
        <v>25000</v>
      </c>
    </row>
    <row r="13" spans="1:5" x14ac:dyDescent="0.2">
      <c r="A13" s="2" t="s">
        <v>131</v>
      </c>
      <c r="B13" s="3" t="s">
        <v>69</v>
      </c>
      <c r="C13" s="4" t="s">
        <v>45</v>
      </c>
      <c r="D13" s="5">
        <v>700000</v>
      </c>
      <c r="E13" s="6">
        <f t="shared" si="0"/>
        <v>23333.333333333332</v>
      </c>
    </row>
    <row r="14" spans="1:5" x14ac:dyDescent="0.2">
      <c r="A14" s="2" t="s">
        <v>132</v>
      </c>
      <c r="B14" s="3" t="s">
        <v>77</v>
      </c>
      <c r="C14" s="4" t="s">
        <v>51</v>
      </c>
      <c r="D14" s="5">
        <v>900000</v>
      </c>
      <c r="E14" s="6">
        <f t="shared" si="0"/>
        <v>30000</v>
      </c>
    </row>
    <row r="15" spans="1:5" x14ac:dyDescent="0.2">
      <c r="A15" s="2" t="s">
        <v>133</v>
      </c>
      <c r="B15" s="3" t="s">
        <v>71</v>
      </c>
      <c r="C15" s="4" t="s">
        <v>166</v>
      </c>
      <c r="D15" s="5">
        <v>616000</v>
      </c>
      <c r="E15" s="6">
        <f t="shared" si="0"/>
        <v>20533.333333333332</v>
      </c>
    </row>
    <row r="16" spans="1:5" x14ac:dyDescent="0.2">
      <c r="A16" s="2" t="s">
        <v>134</v>
      </c>
      <c r="B16" s="3" t="s">
        <v>55</v>
      </c>
      <c r="C16" s="4" t="s">
        <v>50</v>
      </c>
      <c r="D16" s="5">
        <v>7000000</v>
      </c>
      <c r="E16" s="6">
        <f t="shared" si="0"/>
        <v>233333.33333333334</v>
      </c>
    </row>
    <row r="17" spans="1:5" x14ac:dyDescent="0.2">
      <c r="A17" s="2" t="s">
        <v>135</v>
      </c>
      <c r="B17" s="3" t="s">
        <v>72</v>
      </c>
      <c r="C17" s="4" t="s">
        <v>51</v>
      </c>
      <c r="D17" s="5">
        <v>900000</v>
      </c>
      <c r="E17" s="6">
        <f t="shared" si="0"/>
        <v>30000</v>
      </c>
    </row>
    <row r="18" spans="1:5" x14ac:dyDescent="0.2">
      <c r="A18" s="2" t="s">
        <v>136</v>
      </c>
      <c r="B18" s="3" t="s">
        <v>59</v>
      </c>
      <c r="C18" s="4" t="s">
        <v>46</v>
      </c>
      <c r="D18" s="5">
        <v>620000</v>
      </c>
      <c r="E18" s="6">
        <f t="shared" si="0"/>
        <v>20666.666666666668</v>
      </c>
    </row>
    <row r="19" spans="1:5" x14ac:dyDescent="0.2">
      <c r="A19" s="2" t="s">
        <v>137</v>
      </c>
      <c r="B19" s="3" t="s">
        <v>65</v>
      </c>
      <c r="C19" s="4" t="s">
        <v>166</v>
      </c>
      <c r="D19" s="5">
        <v>616000</v>
      </c>
      <c r="E19" s="6">
        <f t="shared" si="0"/>
        <v>20533.333333333332</v>
      </c>
    </row>
    <row r="20" spans="1:5" x14ac:dyDescent="0.2">
      <c r="A20" s="2" t="s">
        <v>138</v>
      </c>
      <c r="B20" s="3" t="s">
        <v>64</v>
      </c>
      <c r="C20" s="4" t="s">
        <v>51</v>
      </c>
      <c r="D20" s="5">
        <v>900000</v>
      </c>
      <c r="E20" s="6">
        <f t="shared" si="0"/>
        <v>30000</v>
      </c>
    </row>
    <row r="21" spans="1:5" x14ac:dyDescent="0.2">
      <c r="A21" s="2" t="s">
        <v>139</v>
      </c>
      <c r="B21" s="3" t="s">
        <v>70</v>
      </c>
      <c r="C21" s="4" t="s">
        <v>45</v>
      </c>
      <c r="D21" s="5">
        <v>700000</v>
      </c>
      <c r="E21" s="6">
        <f t="shared" si="0"/>
        <v>23333.333333333332</v>
      </c>
    </row>
    <row r="22" spans="1:5" x14ac:dyDescent="0.2">
      <c r="A22" s="2" t="s">
        <v>140</v>
      </c>
      <c r="B22" s="3" t="s">
        <v>121</v>
      </c>
      <c r="C22" s="4" t="s">
        <v>46</v>
      </c>
      <c r="D22" s="5">
        <v>620000</v>
      </c>
      <c r="E22" s="6">
        <f t="shared" si="0"/>
        <v>20666.666666666668</v>
      </c>
    </row>
    <row r="23" spans="1:5" x14ac:dyDescent="0.2">
      <c r="A23" s="2" t="s">
        <v>141</v>
      </c>
      <c r="B23" s="3" t="s">
        <v>56</v>
      </c>
      <c r="C23" s="4" t="s">
        <v>51</v>
      </c>
      <c r="D23" s="5">
        <v>900000</v>
      </c>
      <c r="E23" s="6">
        <f t="shared" si="0"/>
        <v>30000</v>
      </c>
    </row>
    <row r="24" spans="1:5" x14ac:dyDescent="0.2">
      <c r="A24" s="2" t="s">
        <v>142</v>
      </c>
      <c r="B24" s="3" t="s">
        <v>63</v>
      </c>
      <c r="C24" s="4" t="s">
        <v>166</v>
      </c>
      <c r="D24" s="5">
        <v>616000</v>
      </c>
      <c r="E24" s="6">
        <f t="shared" si="0"/>
        <v>20533.333333333332</v>
      </c>
    </row>
    <row r="25" spans="1:5" x14ac:dyDescent="0.2">
      <c r="A25" s="2" t="s">
        <v>143</v>
      </c>
      <c r="B25" s="3" t="s">
        <v>73</v>
      </c>
      <c r="C25" s="4" t="s">
        <v>52</v>
      </c>
      <c r="D25" s="5">
        <v>700000</v>
      </c>
      <c r="E25" s="6">
        <f t="shared" si="0"/>
        <v>23333.333333333332</v>
      </c>
    </row>
    <row r="26" spans="1:5" x14ac:dyDescent="0.2">
      <c r="A26" s="2" t="s">
        <v>144</v>
      </c>
      <c r="B26" s="3" t="s">
        <v>75</v>
      </c>
      <c r="C26" s="4" t="s">
        <v>47</v>
      </c>
      <c r="D26" s="5">
        <v>566700</v>
      </c>
      <c r="E26" s="6">
        <f t="shared" si="0"/>
        <v>18890</v>
      </c>
    </row>
    <row r="27" spans="1:5" x14ac:dyDescent="0.2">
      <c r="A27" s="2" t="s">
        <v>145</v>
      </c>
      <c r="B27" s="3" t="s">
        <v>61</v>
      </c>
      <c r="C27" s="4" t="s">
        <v>48</v>
      </c>
      <c r="D27" s="5">
        <v>750000</v>
      </c>
      <c r="E27" s="6">
        <f t="shared" si="0"/>
        <v>25000</v>
      </c>
    </row>
    <row r="28" spans="1:5" x14ac:dyDescent="0.2">
      <c r="A28" s="2" t="s">
        <v>146</v>
      </c>
      <c r="B28" s="3" t="s">
        <v>76</v>
      </c>
      <c r="C28" s="4" t="s">
        <v>166</v>
      </c>
      <c r="D28" s="5">
        <v>616000</v>
      </c>
      <c r="E28" s="6">
        <f t="shared" si="0"/>
        <v>20533.333333333332</v>
      </c>
    </row>
    <row r="29" spans="1:5" x14ac:dyDescent="0.2">
      <c r="A29" s="2" t="s">
        <v>147</v>
      </c>
      <c r="B29" s="3" t="s">
        <v>79</v>
      </c>
      <c r="C29" s="4" t="s">
        <v>166</v>
      </c>
      <c r="D29" s="5">
        <v>616000</v>
      </c>
      <c r="E29" s="6">
        <f t="shared" si="0"/>
        <v>20533.333333333332</v>
      </c>
    </row>
    <row r="30" spans="1:5" x14ac:dyDescent="0.2">
      <c r="A30" s="2" t="s">
        <v>148</v>
      </c>
      <c r="B30" s="3" t="s">
        <v>74</v>
      </c>
      <c r="C30" s="4" t="s">
        <v>166</v>
      </c>
      <c r="D30" s="5">
        <v>616000</v>
      </c>
      <c r="E30" s="6">
        <f t="shared" si="0"/>
        <v>20533.333333333332</v>
      </c>
    </row>
    <row r="31" spans="1:5" x14ac:dyDescent="0.2">
      <c r="A31" s="2" t="s">
        <v>149</v>
      </c>
      <c r="B31" s="3" t="s">
        <v>67</v>
      </c>
      <c r="C31" s="4" t="s">
        <v>51</v>
      </c>
      <c r="D31" s="5">
        <v>900000</v>
      </c>
      <c r="E31" s="6">
        <f t="shared" si="0"/>
        <v>30000</v>
      </c>
    </row>
    <row r="32" spans="1:5" x14ac:dyDescent="0.2">
      <c r="A32" s="2" t="s">
        <v>150</v>
      </c>
      <c r="B32" s="3" t="s">
        <v>54</v>
      </c>
      <c r="C32" s="4" t="s">
        <v>51</v>
      </c>
      <c r="D32" s="5">
        <v>900000</v>
      </c>
      <c r="E32" s="6">
        <f t="shared" si="0"/>
        <v>30000</v>
      </c>
    </row>
    <row r="33" spans="1:5" ht="13.5" thickBot="1" x14ac:dyDescent="0.25">
      <c r="A33" s="7" t="s">
        <v>151</v>
      </c>
      <c r="B33" s="8" t="s">
        <v>60</v>
      </c>
      <c r="C33" s="9" t="s">
        <v>52</v>
      </c>
      <c r="D33" s="10">
        <v>700000</v>
      </c>
      <c r="E33" s="11">
        <f t="shared" si="0"/>
        <v>23333.333333333332</v>
      </c>
    </row>
  </sheetData>
  <autoFilter ref="A1:E33"/>
  <mergeCells count="5">
    <mergeCell ref="E1:E3"/>
    <mergeCell ref="A1:A3"/>
    <mergeCell ref="B1:B3"/>
    <mergeCell ref="C1:C3"/>
    <mergeCell ref="D1:D3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topLeftCell="F32" zoomScaleNormal="100" workbookViewId="0">
      <selection activeCell="T50" sqref="T50"/>
    </sheetView>
  </sheetViews>
  <sheetFormatPr baseColWidth="10" defaultRowHeight="11.25" x14ac:dyDescent="0.2"/>
  <cols>
    <col min="1" max="1" width="11.7109375" style="32" bestFit="1" customWidth="1"/>
    <col min="2" max="2" width="17.140625" style="32" bestFit="1" customWidth="1"/>
    <col min="3" max="3" width="13.140625" style="32" bestFit="1" customWidth="1"/>
    <col min="4" max="4" width="9.7109375" style="32" bestFit="1" customWidth="1"/>
    <col min="5" max="5" width="13.140625" style="32" bestFit="1" customWidth="1"/>
    <col min="6" max="6" width="10.5703125" style="32" bestFit="1" customWidth="1"/>
    <col min="7" max="7" width="8.85546875" style="32" bestFit="1" customWidth="1"/>
    <col min="8" max="8" width="12.28515625" style="32" bestFit="1" customWidth="1"/>
    <col min="9" max="9" width="9.42578125" style="32" bestFit="1" customWidth="1"/>
    <col min="10" max="10" width="12.140625" style="32" customWidth="1"/>
    <col min="11" max="11" width="8.85546875" style="32" customWidth="1"/>
    <col min="12" max="12" width="12.140625" style="32" customWidth="1"/>
    <col min="13" max="13" width="9.42578125" style="32" customWidth="1"/>
    <col min="14" max="14" width="12.140625" style="32" customWidth="1"/>
    <col min="15" max="15" width="10" style="32" customWidth="1"/>
    <col min="16" max="16" width="14" style="32" customWidth="1"/>
    <col min="17" max="17" width="10.85546875" style="32" bestFit="1" customWidth="1"/>
    <col min="18" max="18" width="15" style="32" bestFit="1" customWidth="1"/>
    <col min="19" max="19" width="15.42578125" style="32" customWidth="1"/>
    <col min="20" max="20" width="9.28515625" style="32" bestFit="1" customWidth="1"/>
    <col min="21" max="21" width="8.7109375" style="32" customWidth="1"/>
    <col min="22" max="22" width="9.7109375" style="32" customWidth="1"/>
    <col min="23" max="23" width="10" style="32" customWidth="1"/>
    <col min="24" max="24" width="11.7109375" style="32" bestFit="1" customWidth="1"/>
    <col min="25" max="25" width="15" style="32" bestFit="1" customWidth="1"/>
    <col min="26" max="26" width="9.85546875" style="32" bestFit="1" customWidth="1"/>
    <col min="27" max="27" width="18.85546875" style="32" bestFit="1" customWidth="1"/>
    <col min="28" max="28" width="8" style="32" customWidth="1"/>
    <col min="29" max="16384" width="11.42578125" style="32"/>
  </cols>
  <sheetData>
    <row r="1" spans="1:26" ht="12" thickTop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/>
    </row>
    <row r="2" spans="1:26" x14ac:dyDescent="0.2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</row>
    <row r="3" spans="1:26" x14ac:dyDescent="0.2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5"/>
    </row>
    <row r="4" spans="1:26" ht="18" x14ac:dyDescent="0.25">
      <c r="A4" s="127" t="s">
        <v>44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35"/>
    </row>
    <row r="5" spans="1:26" x14ac:dyDescent="0.2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5"/>
    </row>
    <row r="6" spans="1:26" x14ac:dyDescent="0.2">
      <c r="A6" s="129" t="s">
        <v>158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 t="s">
        <v>157</v>
      </c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35"/>
    </row>
    <row r="7" spans="1:26" x14ac:dyDescent="0.2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5"/>
    </row>
    <row r="8" spans="1:26" x14ac:dyDescent="0.2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5"/>
    </row>
    <row r="9" spans="1:26" ht="12" thickBot="1" x14ac:dyDescent="0.25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</row>
    <row r="10" spans="1:26" ht="13.5" customHeight="1" thickTop="1" thickBot="1" x14ac:dyDescent="0.25">
      <c r="A10" s="44" t="s">
        <v>156</v>
      </c>
      <c r="B10" s="44" t="s">
        <v>91</v>
      </c>
      <c r="C10" s="44" t="s">
        <v>94</v>
      </c>
      <c r="D10" s="44" t="s">
        <v>96</v>
      </c>
      <c r="E10" s="44" t="s">
        <v>99</v>
      </c>
      <c r="F10" s="44" t="s">
        <v>101</v>
      </c>
      <c r="G10" s="144" t="s">
        <v>15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6"/>
      <c r="S10" s="141" t="s">
        <v>164</v>
      </c>
      <c r="T10" s="144" t="s">
        <v>13</v>
      </c>
      <c r="U10" s="145"/>
      <c r="V10" s="145"/>
      <c r="W10" s="145"/>
      <c r="X10" s="146"/>
      <c r="Y10" s="44" t="s">
        <v>103</v>
      </c>
      <c r="Z10" s="44" t="s">
        <v>105</v>
      </c>
    </row>
    <row r="11" spans="1:26" ht="13.5" customHeight="1" thickTop="1" thickBot="1" x14ac:dyDescent="0.25">
      <c r="A11" s="45" t="s">
        <v>92</v>
      </c>
      <c r="B11" s="45" t="s">
        <v>92</v>
      </c>
      <c r="C11" s="45" t="s">
        <v>95</v>
      </c>
      <c r="D11" s="45" t="s">
        <v>97</v>
      </c>
      <c r="E11" s="45"/>
      <c r="F11" s="45"/>
      <c r="G11" s="154" t="s">
        <v>4</v>
      </c>
      <c r="H11" s="155"/>
      <c r="I11" s="155"/>
      <c r="J11" s="156"/>
      <c r="K11" s="157" t="s">
        <v>5</v>
      </c>
      <c r="L11" s="158"/>
      <c r="M11" s="158"/>
      <c r="N11" s="159"/>
      <c r="O11" s="44" t="s">
        <v>103</v>
      </c>
      <c r="P11" s="44" t="s">
        <v>104</v>
      </c>
      <c r="Q11" s="44" t="s">
        <v>10</v>
      </c>
      <c r="R11" s="44" t="s">
        <v>10</v>
      </c>
      <c r="S11" s="142"/>
      <c r="T11" s="144" t="s">
        <v>9</v>
      </c>
      <c r="U11" s="145"/>
      <c r="V11" s="146"/>
      <c r="W11" s="44" t="s">
        <v>10</v>
      </c>
      <c r="X11" s="44" t="s">
        <v>10</v>
      </c>
      <c r="Y11" s="45"/>
      <c r="Z11" s="45"/>
    </row>
    <row r="12" spans="1:26" ht="22.5" thickTop="1" thickBot="1" x14ac:dyDescent="0.25">
      <c r="A12" s="46" t="s">
        <v>93</v>
      </c>
      <c r="B12" s="46" t="s">
        <v>93</v>
      </c>
      <c r="C12" s="46" t="s">
        <v>93</v>
      </c>
      <c r="D12" s="46" t="s">
        <v>98</v>
      </c>
      <c r="E12" s="46" t="s">
        <v>100</v>
      </c>
      <c r="F12" s="46" t="s">
        <v>102</v>
      </c>
      <c r="G12" s="47" t="s">
        <v>0</v>
      </c>
      <c r="H12" s="47" t="s">
        <v>1</v>
      </c>
      <c r="I12" s="48" t="s">
        <v>87</v>
      </c>
      <c r="J12" s="48" t="s">
        <v>86</v>
      </c>
      <c r="K12" s="47" t="s">
        <v>0</v>
      </c>
      <c r="L12" s="47" t="s">
        <v>1</v>
      </c>
      <c r="M12" s="48" t="s">
        <v>2</v>
      </c>
      <c r="N12" s="49" t="s">
        <v>3</v>
      </c>
      <c r="O12" s="46" t="s">
        <v>16</v>
      </c>
      <c r="P12" s="46" t="s">
        <v>17</v>
      </c>
      <c r="Q12" s="46" t="s">
        <v>18</v>
      </c>
      <c r="R12" s="46" t="s">
        <v>19</v>
      </c>
      <c r="S12" s="143"/>
      <c r="T12" s="47" t="s">
        <v>6</v>
      </c>
      <c r="U12" s="47" t="s">
        <v>7</v>
      </c>
      <c r="V12" s="47" t="s">
        <v>8</v>
      </c>
      <c r="W12" s="46" t="s">
        <v>11</v>
      </c>
      <c r="X12" s="46" t="s">
        <v>12</v>
      </c>
      <c r="Y12" s="46" t="s">
        <v>13</v>
      </c>
      <c r="Z12" s="46" t="s">
        <v>106</v>
      </c>
    </row>
    <row r="13" spans="1:26" ht="12.75" thickTop="1" thickBot="1" x14ac:dyDescent="0.25">
      <c r="A13" s="50" t="s">
        <v>122</v>
      </c>
      <c r="B13" s="51" t="str">
        <f>IF(ISBLANK(A13),"",IF(ISERROR(VLOOKUP(A13,BDEMPLEADOS,2,FALSE)),"NOEXISTE",VLOOKUP(A13,BDEMPLEADOS,2,FALSE)))</f>
        <v>Ospina Borja Pedro Nel</v>
      </c>
      <c r="C13" s="52" t="str">
        <f t="shared" ref="C13:C42" si="0">IF(ISBLANK(A13),"",IF(ISERROR(VLOOKUP(A13,BDEMPLEADOS,3,FALSE)),"",VLOOKUP(A13,BDEMPLEADOS,3,FALSE)))</f>
        <v>Digitador</v>
      </c>
      <c r="D13" s="53">
        <v>30</v>
      </c>
      <c r="E13" s="54">
        <f t="shared" ref="E13:E42" si="1">IF(ISBLANK(A13),"",IF(ISERROR(VLOOKUP(A13,BDEMPLEADOS,5,FALSE)),"",VLOOKUP(A13,BDEMPLEADOS,5,FALSE)))</f>
        <v>23333.333333333332</v>
      </c>
      <c r="F13" s="54">
        <f>IF(OR(D13="",E13=""),"",D13*E13)</f>
        <v>700000</v>
      </c>
      <c r="G13" s="53">
        <f>IF(C13="","",IF(OR(C13="operario",C13="operaria"),5,0))</f>
        <v>0</v>
      </c>
      <c r="H13" s="53">
        <f>IF(C13="","",IF(OR(C13="operario",C13="operaria"),4,0))</f>
        <v>0</v>
      </c>
      <c r="I13" s="53">
        <f>IF(C13="","",IF(OR(C13="operario",C13="operaria"),2,0))</f>
        <v>0</v>
      </c>
      <c r="J13" s="53">
        <f>IF(C13="","",IF(OR(C13="operario",C13="operaria"),1,0))</f>
        <v>0</v>
      </c>
      <c r="K13" s="55">
        <f>IF(OR(G13="",E13="",$T$47=""),"",G13*((E13/8)*$T$47))</f>
        <v>0</v>
      </c>
      <c r="L13" s="55">
        <f>IF(OR(H13="",E13="",$T$48=""),"",H13*((E13/8)*$T$48))</f>
        <v>0</v>
      </c>
      <c r="M13" s="55">
        <f>IF(OR(I13="",E13="",$T$49=""),"",I13*((E13/8)*$T$49))</f>
        <v>0</v>
      </c>
      <c r="N13" s="55">
        <f>IF(OR(J13="",E13="",$T$50=""),"",J13*((E13/8)*$T$50))</f>
        <v>0</v>
      </c>
      <c r="O13" s="55">
        <f>IF(OR(K13="",L13="",M13="",N13=""),"",SUM(K13:N13))</f>
        <v>0</v>
      </c>
      <c r="P13" s="54">
        <f>IF(OR(F13="",$O$46="",$O$47="",D13=""),"",IF(F13&lt;=4*$O$46,($O$47/30)*D13,0))</f>
        <v>72000</v>
      </c>
      <c r="Q13" s="77">
        <f>IF(OR(C13="",$O$51="",$O$52=""),"",IF(C13="VENDEDOR",$O$51*$O$52,0))</f>
        <v>0</v>
      </c>
      <c r="R13" s="54">
        <f>IF(OR(F13="",$O$51="",$O$55=""),"",IF(F13&gt;=600000,$O$51*$O$55,$O$51*$Q$55))</f>
        <v>30000</v>
      </c>
      <c r="S13" s="55">
        <f>IF(OR(F13="",O13="",Q13="",P13="",R13=""),"",F13+O13+Q13+P13+R13)</f>
        <v>802000</v>
      </c>
      <c r="T13" s="54">
        <f>IF(OR(S13="",P13="",$O$48=""),"",(S13-P13)*$O$48)</f>
        <v>29200</v>
      </c>
      <c r="U13" s="54">
        <f>IF(OR(S13="",P13="",$O$49=""),"",(S13-P13)*$O$49)</f>
        <v>29200</v>
      </c>
      <c r="V13" s="54" t="str">
        <f>IF(OR(S13="",P13="",$O$46="",$O$50=""),"",IF((S13-P13)&gt;4*$O$46,S13*$O$50,""))</f>
        <v/>
      </c>
      <c r="W13" s="54">
        <f>IF(OR(S13="",P13="",$O$53="",$P$53=""),"",IF((S13-P13)&lt;600000,(S13-P13)*$O$53,(S13-P13)*$P$53))</f>
        <v>73000</v>
      </c>
      <c r="X13" s="54">
        <f>IF(OR(F13="",$O$54="",$P$54=""),"",IF(F13&lt;700000,F13*$O$54,F13*$P$54))</f>
        <v>7000</v>
      </c>
      <c r="Y13" s="55">
        <f>IF(OR(T13="",X13=""),"",SUM(T13:X13))</f>
        <v>138400</v>
      </c>
      <c r="Z13" s="55">
        <f>IF(OR(S13="",Y13=""),"",S13-Y13)</f>
        <v>663600</v>
      </c>
    </row>
    <row r="14" spans="1:26" ht="12.75" thickTop="1" thickBot="1" x14ac:dyDescent="0.25">
      <c r="A14" s="56" t="s">
        <v>123</v>
      </c>
      <c r="B14" s="51" t="str">
        <f>IF(ISBLANK(A14),"",IF(ISERROR(VLOOKUP(A14,BDEMPLEADOS,2,FALSE)),"NOEXISTE",VLOOKUP(A14,BDEMPLEADOS,2,FALSE)))</f>
        <v>Andrés Felipe Ramírez</v>
      </c>
      <c r="C14" s="52" t="str">
        <f t="shared" si="0"/>
        <v>Vendedor</v>
      </c>
      <c r="D14" s="53">
        <v>30</v>
      </c>
      <c r="E14" s="54">
        <f t="shared" si="1"/>
        <v>20666.666666666668</v>
      </c>
      <c r="F14" s="54">
        <f t="shared" ref="F14:F42" si="2">IF(OR(D14="",E14=""),"",D14*E14)</f>
        <v>620000</v>
      </c>
      <c r="G14" s="53">
        <f t="shared" ref="G14:G42" si="3">IF(C14="","",IF(OR(C14="operario",C14="operaria"),5,0))</f>
        <v>0</v>
      </c>
      <c r="H14" s="53">
        <f t="shared" ref="H14:H42" si="4">IF(C14="","",IF(OR(C14="operario",C14="operaria"),4,0))</f>
        <v>0</v>
      </c>
      <c r="I14" s="53">
        <f t="shared" ref="I14:I42" si="5">IF(C14="","",IF(OR(C14="operario",C14="operaria"),2,0))</f>
        <v>0</v>
      </c>
      <c r="J14" s="53">
        <f t="shared" ref="J14:J42" si="6">IF(C14="","",IF(OR(C14="operario",C14="operaria"),1,0))</f>
        <v>0</v>
      </c>
      <c r="K14" s="55">
        <f t="shared" ref="K14:K42" si="7">IF(OR(G14="",E14="",$T$47=""),"",G14*((E14/8)*$T$47))</f>
        <v>0</v>
      </c>
      <c r="L14" s="55">
        <f t="shared" ref="L14:L42" si="8">IF(OR(H14="",E14="",$T$48=""),"",H14*((E14/8)*$T$48))</f>
        <v>0</v>
      </c>
      <c r="M14" s="55">
        <f t="shared" ref="M14:M42" si="9">IF(OR(I14="",E14="",$T$49=""),"",I14*((E14/8)*$T$49))</f>
        <v>0</v>
      </c>
      <c r="N14" s="55">
        <f t="shared" ref="N14:N42" si="10">IF(OR(J14="",E14="",$T$50=""),"",J14*((E14/8)*$T$50))</f>
        <v>0</v>
      </c>
      <c r="O14" s="55">
        <f t="shared" ref="O14:O42" si="11">IF(OR(K14="",L14="",M14="",N14=""),"",SUM(K14:N14))</f>
        <v>0</v>
      </c>
      <c r="P14" s="54">
        <f t="shared" ref="P14:P42" si="12">IF(OR(F14="",$O$46="",$O$47="",D14=""),"",IF(F14&lt;=4*$O$46,($O$47/30)*D14,0))</f>
        <v>72000</v>
      </c>
      <c r="Q14" s="77">
        <f t="shared" ref="Q14:Q42" si="13">IF(OR(C14="",$O$51="",$O$52=""),"",IF(C14="VENDEDOR",$O$51*$O$52,0))</f>
        <v>44999.999999999993</v>
      </c>
      <c r="R14" s="54">
        <f t="shared" ref="R14:R42" si="14">IF(OR(F14="",$O$51="",$O$55=""),"",IF(F14&gt;=600000,$O$51*$O$55,$O$51*$Q$55))</f>
        <v>30000</v>
      </c>
      <c r="S14" s="55">
        <f t="shared" ref="S14:S42" si="15">IF(OR(F14="",O14="",Q14="",P14="",R14=""),"",F14+O14+Q14+P14+R14)</f>
        <v>767000</v>
      </c>
      <c r="T14" s="54">
        <f t="shared" ref="T14:T42" si="16">IF(OR(S14="",P14="",$O$48=""),"",(S14-P14)*$O$48)</f>
        <v>27800</v>
      </c>
      <c r="U14" s="54">
        <f t="shared" ref="U14:U42" si="17">IF(OR(S14="",P14="",$O$49=""),"",(S14-P14)*$O$49)</f>
        <v>27800</v>
      </c>
      <c r="V14" s="54" t="str">
        <f t="shared" ref="V14:V43" si="18">IF(OR(S14="",P14="",$O$46="",$O$50=""),"",IF((S14-P14)&gt;4*$O$46,S14*$O$50,""))</f>
        <v/>
      </c>
      <c r="W14" s="54">
        <f t="shared" ref="W14:W42" si="19">IF(OR(S14="",P14="",$O$53="",$P$53=""),"",IF((S14-P14)&lt;600000,(S14-P14)*$O$53,(S14-P14)*$P$53))</f>
        <v>69500</v>
      </c>
      <c r="X14" s="54">
        <f t="shared" ref="X14:X42" si="20">IF(OR(F14="",$O$54="",$P$54=""),"",IF(F14&lt;700000,F14*$O$54,F14*$P$54))</f>
        <v>3100</v>
      </c>
      <c r="Y14" s="55">
        <f t="shared" ref="Y14:Y42" si="21">IF(OR(T14="",X14=""),"",SUM(T14:X14))</f>
        <v>128200</v>
      </c>
      <c r="Z14" s="55">
        <f t="shared" ref="Z14:Z42" si="22">IF(OR(S14="",Y14=""),"",S14-Y14)</f>
        <v>638800</v>
      </c>
    </row>
    <row r="15" spans="1:26" ht="12.75" thickTop="1" thickBot="1" x14ac:dyDescent="0.25">
      <c r="A15" s="50" t="s">
        <v>124</v>
      </c>
      <c r="B15" s="51" t="str">
        <f t="shared" ref="B15:B42" si="23">IF(ISBLANK(A15),"",IF(ISERROR(VLOOKUP(A15,BDEMPLEADOS,2,FALSE)),"NOEXISTE",VLOOKUP(A15,BDEMPLEADOS,2,FALSE)))</f>
        <v>Ángela María Hernández</v>
      </c>
      <c r="C15" s="52" t="str">
        <f t="shared" si="0"/>
        <v>Auxiliar Contable</v>
      </c>
      <c r="D15" s="53">
        <v>30</v>
      </c>
      <c r="E15" s="54">
        <f t="shared" si="1"/>
        <v>30000</v>
      </c>
      <c r="F15" s="54">
        <f t="shared" si="2"/>
        <v>900000</v>
      </c>
      <c r="G15" s="53">
        <f t="shared" si="3"/>
        <v>0</v>
      </c>
      <c r="H15" s="53">
        <f t="shared" si="4"/>
        <v>0</v>
      </c>
      <c r="I15" s="53">
        <f t="shared" si="5"/>
        <v>0</v>
      </c>
      <c r="J15" s="53">
        <f t="shared" si="6"/>
        <v>0</v>
      </c>
      <c r="K15" s="55">
        <f t="shared" si="7"/>
        <v>0</v>
      </c>
      <c r="L15" s="55">
        <f t="shared" si="8"/>
        <v>0</v>
      </c>
      <c r="M15" s="55">
        <f t="shared" si="9"/>
        <v>0</v>
      </c>
      <c r="N15" s="55">
        <f t="shared" si="10"/>
        <v>0</v>
      </c>
      <c r="O15" s="55">
        <f t="shared" si="11"/>
        <v>0</v>
      </c>
      <c r="P15" s="54">
        <f t="shared" si="12"/>
        <v>72000</v>
      </c>
      <c r="Q15" s="77">
        <f t="shared" si="13"/>
        <v>0</v>
      </c>
      <c r="R15" s="54">
        <f t="shared" si="14"/>
        <v>30000</v>
      </c>
      <c r="S15" s="55">
        <f t="shared" si="15"/>
        <v>1002000</v>
      </c>
      <c r="T15" s="54">
        <f t="shared" si="16"/>
        <v>37200</v>
      </c>
      <c r="U15" s="54">
        <f t="shared" si="17"/>
        <v>37200</v>
      </c>
      <c r="V15" s="54" t="str">
        <f t="shared" si="18"/>
        <v/>
      </c>
      <c r="W15" s="54">
        <f t="shared" si="19"/>
        <v>93000</v>
      </c>
      <c r="X15" s="54">
        <f t="shared" si="20"/>
        <v>9000</v>
      </c>
      <c r="Y15" s="55">
        <f t="shared" si="21"/>
        <v>176400</v>
      </c>
      <c r="Z15" s="55">
        <f t="shared" si="22"/>
        <v>825600</v>
      </c>
    </row>
    <row r="16" spans="1:26" ht="12.75" thickTop="1" thickBot="1" x14ac:dyDescent="0.25">
      <c r="A16" s="56" t="s">
        <v>125</v>
      </c>
      <c r="B16" s="51" t="str">
        <f t="shared" si="23"/>
        <v>Camilo Ceballos</v>
      </c>
      <c r="C16" s="52" t="str">
        <f t="shared" si="0"/>
        <v>Operario</v>
      </c>
      <c r="D16" s="53">
        <v>30</v>
      </c>
      <c r="E16" s="54">
        <f t="shared" si="1"/>
        <v>20533.333333333332</v>
      </c>
      <c r="F16" s="54">
        <f t="shared" si="2"/>
        <v>616000</v>
      </c>
      <c r="G16" s="53">
        <f t="shared" si="3"/>
        <v>5</v>
      </c>
      <c r="H16" s="53">
        <f t="shared" si="4"/>
        <v>4</v>
      </c>
      <c r="I16" s="53">
        <f t="shared" si="5"/>
        <v>2</v>
      </c>
      <c r="J16" s="53">
        <f t="shared" si="6"/>
        <v>1</v>
      </c>
      <c r="K16" s="55">
        <f t="shared" si="7"/>
        <v>16041.666666666664</v>
      </c>
      <c r="L16" s="55">
        <f t="shared" si="8"/>
        <v>17966.666666666664</v>
      </c>
      <c r="M16" s="55">
        <f t="shared" si="9"/>
        <v>10266.666666666666</v>
      </c>
      <c r="N16" s="55">
        <f t="shared" si="10"/>
        <v>6416.6666666666661</v>
      </c>
      <c r="O16" s="55">
        <f t="shared" si="11"/>
        <v>50691.666666666657</v>
      </c>
      <c r="P16" s="54">
        <f t="shared" si="12"/>
        <v>72000</v>
      </c>
      <c r="Q16" s="77">
        <f t="shared" si="13"/>
        <v>0</v>
      </c>
      <c r="R16" s="54">
        <f t="shared" si="14"/>
        <v>30000</v>
      </c>
      <c r="S16" s="55">
        <f t="shared" si="15"/>
        <v>768691.66666666663</v>
      </c>
      <c r="T16" s="54">
        <f t="shared" si="16"/>
        <v>27867.666666666664</v>
      </c>
      <c r="U16" s="54">
        <f t="shared" si="17"/>
        <v>27867.666666666664</v>
      </c>
      <c r="V16" s="54" t="str">
        <f t="shared" si="18"/>
        <v/>
      </c>
      <c r="W16" s="54">
        <f t="shared" si="19"/>
        <v>69669.166666666672</v>
      </c>
      <c r="X16" s="54">
        <f t="shared" si="20"/>
        <v>3080</v>
      </c>
      <c r="Y16" s="55">
        <f t="shared" si="21"/>
        <v>128484.5</v>
      </c>
      <c r="Z16" s="55">
        <f t="shared" si="22"/>
        <v>640207.16666666663</v>
      </c>
    </row>
    <row r="17" spans="1:26" ht="12.75" thickTop="1" thickBot="1" x14ac:dyDescent="0.25">
      <c r="A17" s="50" t="s">
        <v>126</v>
      </c>
      <c r="B17" s="51" t="str">
        <f t="shared" si="23"/>
        <v>Carlos Andrés Giraldo</v>
      </c>
      <c r="C17" s="52" t="str">
        <f t="shared" si="0"/>
        <v>Secretaria</v>
      </c>
      <c r="D17" s="53">
        <v>30</v>
      </c>
      <c r="E17" s="54">
        <f t="shared" si="1"/>
        <v>25000</v>
      </c>
      <c r="F17" s="54">
        <f t="shared" si="2"/>
        <v>750000</v>
      </c>
      <c r="G17" s="53">
        <f t="shared" si="3"/>
        <v>0</v>
      </c>
      <c r="H17" s="53">
        <f t="shared" si="4"/>
        <v>0</v>
      </c>
      <c r="I17" s="53">
        <f t="shared" si="5"/>
        <v>0</v>
      </c>
      <c r="J17" s="53">
        <f t="shared" si="6"/>
        <v>0</v>
      </c>
      <c r="K17" s="55">
        <f t="shared" si="7"/>
        <v>0</v>
      </c>
      <c r="L17" s="55">
        <f t="shared" si="8"/>
        <v>0</v>
      </c>
      <c r="M17" s="55">
        <f t="shared" si="9"/>
        <v>0</v>
      </c>
      <c r="N17" s="55">
        <f t="shared" si="10"/>
        <v>0</v>
      </c>
      <c r="O17" s="55">
        <f t="shared" si="11"/>
        <v>0</v>
      </c>
      <c r="P17" s="54">
        <f t="shared" si="12"/>
        <v>72000</v>
      </c>
      <c r="Q17" s="77">
        <f t="shared" si="13"/>
        <v>0</v>
      </c>
      <c r="R17" s="54">
        <f t="shared" si="14"/>
        <v>30000</v>
      </c>
      <c r="S17" s="55">
        <f t="shared" si="15"/>
        <v>852000</v>
      </c>
      <c r="T17" s="54">
        <f t="shared" si="16"/>
        <v>31200</v>
      </c>
      <c r="U17" s="54">
        <f t="shared" si="17"/>
        <v>31200</v>
      </c>
      <c r="V17" s="54" t="str">
        <f t="shared" si="18"/>
        <v/>
      </c>
      <c r="W17" s="54">
        <f t="shared" si="19"/>
        <v>78000</v>
      </c>
      <c r="X17" s="54">
        <f t="shared" si="20"/>
        <v>7500</v>
      </c>
      <c r="Y17" s="55">
        <f t="shared" si="21"/>
        <v>147900</v>
      </c>
      <c r="Z17" s="55">
        <f t="shared" si="22"/>
        <v>704100</v>
      </c>
    </row>
    <row r="18" spans="1:26" ht="12.75" thickTop="1" thickBot="1" x14ac:dyDescent="0.25">
      <c r="A18" s="56" t="s">
        <v>127</v>
      </c>
      <c r="B18" s="51" t="str">
        <f t="shared" si="23"/>
        <v>Carlos Mario Quiroz</v>
      </c>
      <c r="C18" s="52" t="str">
        <f t="shared" si="0"/>
        <v>Vendedor</v>
      </c>
      <c r="D18" s="53">
        <v>30</v>
      </c>
      <c r="E18" s="54">
        <f t="shared" si="1"/>
        <v>20666.666666666668</v>
      </c>
      <c r="F18" s="54">
        <f t="shared" si="2"/>
        <v>620000</v>
      </c>
      <c r="G18" s="53">
        <f t="shared" si="3"/>
        <v>0</v>
      </c>
      <c r="H18" s="53">
        <f t="shared" si="4"/>
        <v>0</v>
      </c>
      <c r="I18" s="53">
        <f t="shared" si="5"/>
        <v>0</v>
      </c>
      <c r="J18" s="53">
        <f t="shared" si="6"/>
        <v>0</v>
      </c>
      <c r="K18" s="55">
        <f t="shared" si="7"/>
        <v>0</v>
      </c>
      <c r="L18" s="55">
        <f t="shared" si="8"/>
        <v>0</v>
      </c>
      <c r="M18" s="55">
        <f t="shared" si="9"/>
        <v>0</v>
      </c>
      <c r="N18" s="55">
        <f t="shared" si="10"/>
        <v>0</v>
      </c>
      <c r="O18" s="55">
        <f t="shared" si="11"/>
        <v>0</v>
      </c>
      <c r="P18" s="54">
        <f t="shared" si="12"/>
        <v>72000</v>
      </c>
      <c r="Q18" s="77">
        <f t="shared" si="13"/>
        <v>44999.999999999993</v>
      </c>
      <c r="R18" s="54">
        <f t="shared" si="14"/>
        <v>30000</v>
      </c>
      <c r="S18" s="55">
        <f t="shared" si="15"/>
        <v>767000</v>
      </c>
      <c r="T18" s="54">
        <f t="shared" si="16"/>
        <v>27800</v>
      </c>
      <c r="U18" s="54">
        <f t="shared" si="17"/>
        <v>27800</v>
      </c>
      <c r="V18" s="54" t="str">
        <f t="shared" si="18"/>
        <v/>
      </c>
      <c r="W18" s="54">
        <f t="shared" si="19"/>
        <v>69500</v>
      </c>
      <c r="X18" s="54">
        <f t="shared" si="20"/>
        <v>3100</v>
      </c>
      <c r="Y18" s="55">
        <f t="shared" si="21"/>
        <v>128200</v>
      </c>
      <c r="Z18" s="55">
        <f t="shared" si="22"/>
        <v>638800</v>
      </c>
    </row>
    <row r="19" spans="1:26" ht="12.75" thickTop="1" thickBot="1" x14ac:dyDescent="0.25">
      <c r="A19" s="50" t="s">
        <v>128</v>
      </c>
      <c r="B19" s="51" t="str">
        <f t="shared" si="23"/>
        <v>Carolina Rodríguez</v>
      </c>
      <c r="C19" s="52" t="str">
        <f t="shared" si="0"/>
        <v>Aseadora</v>
      </c>
      <c r="D19" s="53">
        <v>30</v>
      </c>
      <c r="E19" s="54">
        <f t="shared" si="1"/>
        <v>20533.333333333332</v>
      </c>
      <c r="F19" s="54">
        <f t="shared" si="2"/>
        <v>616000</v>
      </c>
      <c r="G19" s="53">
        <f t="shared" si="3"/>
        <v>0</v>
      </c>
      <c r="H19" s="53">
        <f t="shared" si="4"/>
        <v>0</v>
      </c>
      <c r="I19" s="53">
        <f t="shared" si="5"/>
        <v>0</v>
      </c>
      <c r="J19" s="53">
        <f t="shared" si="6"/>
        <v>0</v>
      </c>
      <c r="K19" s="55">
        <f t="shared" si="7"/>
        <v>0</v>
      </c>
      <c r="L19" s="55">
        <f t="shared" si="8"/>
        <v>0</v>
      </c>
      <c r="M19" s="55">
        <f t="shared" si="9"/>
        <v>0</v>
      </c>
      <c r="N19" s="55">
        <f t="shared" si="10"/>
        <v>0</v>
      </c>
      <c r="O19" s="55">
        <f t="shared" si="11"/>
        <v>0</v>
      </c>
      <c r="P19" s="54">
        <f t="shared" si="12"/>
        <v>72000</v>
      </c>
      <c r="Q19" s="77">
        <f t="shared" si="13"/>
        <v>0</v>
      </c>
      <c r="R19" s="54">
        <f t="shared" si="14"/>
        <v>30000</v>
      </c>
      <c r="S19" s="55">
        <f t="shared" si="15"/>
        <v>718000</v>
      </c>
      <c r="T19" s="54">
        <f t="shared" si="16"/>
        <v>25840</v>
      </c>
      <c r="U19" s="54">
        <f t="shared" si="17"/>
        <v>25840</v>
      </c>
      <c r="V19" s="54" t="str">
        <f t="shared" si="18"/>
        <v/>
      </c>
      <c r="W19" s="54">
        <f t="shared" si="19"/>
        <v>64600</v>
      </c>
      <c r="X19" s="54">
        <f t="shared" si="20"/>
        <v>3080</v>
      </c>
      <c r="Y19" s="55">
        <f t="shared" si="21"/>
        <v>119360</v>
      </c>
      <c r="Z19" s="55">
        <f t="shared" si="22"/>
        <v>598640</v>
      </c>
    </row>
    <row r="20" spans="1:26" ht="12.75" thickTop="1" thickBot="1" x14ac:dyDescent="0.25">
      <c r="A20" s="56" t="s">
        <v>129</v>
      </c>
      <c r="B20" s="51" t="str">
        <f t="shared" si="23"/>
        <v>Claudia González</v>
      </c>
      <c r="C20" s="52" t="str">
        <f t="shared" si="0"/>
        <v>Vendedor</v>
      </c>
      <c r="D20" s="53">
        <v>25</v>
      </c>
      <c r="E20" s="54">
        <f t="shared" si="1"/>
        <v>20666.666666666668</v>
      </c>
      <c r="F20" s="54">
        <f t="shared" si="2"/>
        <v>516666.66666666669</v>
      </c>
      <c r="G20" s="53">
        <f t="shared" si="3"/>
        <v>0</v>
      </c>
      <c r="H20" s="53">
        <f t="shared" si="4"/>
        <v>0</v>
      </c>
      <c r="I20" s="53">
        <f t="shared" si="5"/>
        <v>0</v>
      </c>
      <c r="J20" s="53">
        <f t="shared" si="6"/>
        <v>0</v>
      </c>
      <c r="K20" s="55">
        <f t="shared" si="7"/>
        <v>0</v>
      </c>
      <c r="L20" s="55">
        <f t="shared" si="8"/>
        <v>0</v>
      </c>
      <c r="M20" s="55">
        <f t="shared" si="9"/>
        <v>0</v>
      </c>
      <c r="N20" s="55">
        <f t="shared" si="10"/>
        <v>0</v>
      </c>
      <c r="O20" s="55">
        <f t="shared" si="11"/>
        <v>0</v>
      </c>
      <c r="P20" s="54">
        <f t="shared" si="12"/>
        <v>60000</v>
      </c>
      <c r="Q20" s="77">
        <f t="shared" si="13"/>
        <v>44999.999999999993</v>
      </c>
      <c r="R20" s="54">
        <f t="shared" si="14"/>
        <v>44999.999999999993</v>
      </c>
      <c r="S20" s="55">
        <f t="shared" si="15"/>
        <v>666666.66666666663</v>
      </c>
      <c r="T20" s="54">
        <f t="shared" si="16"/>
        <v>24266.666666666664</v>
      </c>
      <c r="U20" s="54">
        <f t="shared" si="17"/>
        <v>24266.666666666664</v>
      </c>
      <c r="V20" s="54" t="str">
        <f t="shared" si="18"/>
        <v/>
      </c>
      <c r="W20" s="54">
        <f t="shared" si="19"/>
        <v>60666.666666666664</v>
      </c>
      <c r="X20" s="54">
        <f t="shared" si="20"/>
        <v>2583.3333333333335</v>
      </c>
      <c r="Y20" s="55">
        <f t="shared" si="21"/>
        <v>111783.33333333333</v>
      </c>
      <c r="Z20" s="55">
        <f t="shared" si="22"/>
        <v>554883.33333333326</v>
      </c>
    </row>
    <row r="21" spans="1:26" ht="12.75" thickTop="1" thickBot="1" x14ac:dyDescent="0.25">
      <c r="A21" s="50" t="s">
        <v>130</v>
      </c>
      <c r="B21" s="51" t="str">
        <f t="shared" si="23"/>
        <v>Diana López</v>
      </c>
      <c r="C21" s="52" t="str">
        <f t="shared" si="0"/>
        <v>Secretaria</v>
      </c>
      <c r="D21" s="53">
        <v>30</v>
      </c>
      <c r="E21" s="54">
        <f t="shared" si="1"/>
        <v>25000</v>
      </c>
      <c r="F21" s="54">
        <f t="shared" si="2"/>
        <v>750000</v>
      </c>
      <c r="G21" s="53">
        <f t="shared" si="3"/>
        <v>0</v>
      </c>
      <c r="H21" s="53">
        <f t="shared" si="4"/>
        <v>0</v>
      </c>
      <c r="I21" s="53">
        <f t="shared" si="5"/>
        <v>0</v>
      </c>
      <c r="J21" s="53">
        <f t="shared" si="6"/>
        <v>0</v>
      </c>
      <c r="K21" s="55">
        <f t="shared" si="7"/>
        <v>0</v>
      </c>
      <c r="L21" s="55">
        <f t="shared" si="8"/>
        <v>0</v>
      </c>
      <c r="M21" s="55">
        <f t="shared" si="9"/>
        <v>0</v>
      </c>
      <c r="N21" s="55">
        <f t="shared" si="10"/>
        <v>0</v>
      </c>
      <c r="O21" s="55">
        <f t="shared" si="11"/>
        <v>0</v>
      </c>
      <c r="P21" s="54">
        <f t="shared" si="12"/>
        <v>72000</v>
      </c>
      <c r="Q21" s="77">
        <f t="shared" si="13"/>
        <v>0</v>
      </c>
      <c r="R21" s="54">
        <f t="shared" si="14"/>
        <v>30000</v>
      </c>
      <c r="S21" s="55">
        <f t="shared" si="15"/>
        <v>852000</v>
      </c>
      <c r="T21" s="54">
        <f t="shared" si="16"/>
        <v>31200</v>
      </c>
      <c r="U21" s="54">
        <f t="shared" si="17"/>
        <v>31200</v>
      </c>
      <c r="V21" s="54" t="str">
        <f t="shared" si="18"/>
        <v/>
      </c>
      <c r="W21" s="54">
        <f t="shared" si="19"/>
        <v>78000</v>
      </c>
      <c r="X21" s="54">
        <f t="shared" si="20"/>
        <v>7500</v>
      </c>
      <c r="Y21" s="55">
        <f t="shared" si="21"/>
        <v>147900</v>
      </c>
      <c r="Z21" s="55">
        <f t="shared" si="22"/>
        <v>704100</v>
      </c>
    </row>
    <row r="22" spans="1:26" ht="12.75" thickTop="1" thickBot="1" x14ac:dyDescent="0.25">
      <c r="A22" s="56" t="s">
        <v>131</v>
      </c>
      <c r="B22" s="51" t="str">
        <f t="shared" si="23"/>
        <v>Didier Alejandro Sánchez</v>
      </c>
      <c r="C22" s="52" t="str">
        <f t="shared" si="0"/>
        <v>Digitador</v>
      </c>
      <c r="D22" s="53">
        <v>30</v>
      </c>
      <c r="E22" s="54">
        <f t="shared" si="1"/>
        <v>23333.333333333332</v>
      </c>
      <c r="F22" s="54">
        <f t="shared" si="2"/>
        <v>700000</v>
      </c>
      <c r="G22" s="53">
        <f t="shared" si="3"/>
        <v>0</v>
      </c>
      <c r="H22" s="53">
        <f t="shared" si="4"/>
        <v>0</v>
      </c>
      <c r="I22" s="53">
        <f t="shared" si="5"/>
        <v>0</v>
      </c>
      <c r="J22" s="53">
        <f t="shared" si="6"/>
        <v>0</v>
      </c>
      <c r="K22" s="55">
        <f t="shared" si="7"/>
        <v>0</v>
      </c>
      <c r="L22" s="55">
        <f t="shared" si="8"/>
        <v>0</v>
      </c>
      <c r="M22" s="55">
        <f t="shared" si="9"/>
        <v>0</v>
      </c>
      <c r="N22" s="55">
        <f t="shared" si="10"/>
        <v>0</v>
      </c>
      <c r="O22" s="55">
        <f t="shared" si="11"/>
        <v>0</v>
      </c>
      <c r="P22" s="54">
        <f t="shared" si="12"/>
        <v>72000</v>
      </c>
      <c r="Q22" s="77">
        <f t="shared" si="13"/>
        <v>0</v>
      </c>
      <c r="R22" s="54">
        <f t="shared" si="14"/>
        <v>30000</v>
      </c>
      <c r="S22" s="55">
        <f t="shared" si="15"/>
        <v>802000</v>
      </c>
      <c r="T22" s="54">
        <f t="shared" si="16"/>
        <v>29200</v>
      </c>
      <c r="U22" s="54">
        <f t="shared" si="17"/>
        <v>29200</v>
      </c>
      <c r="V22" s="54" t="str">
        <f t="shared" si="18"/>
        <v/>
      </c>
      <c r="W22" s="54">
        <f t="shared" si="19"/>
        <v>73000</v>
      </c>
      <c r="X22" s="54">
        <f t="shared" si="20"/>
        <v>7000</v>
      </c>
      <c r="Y22" s="55">
        <f t="shared" si="21"/>
        <v>138400</v>
      </c>
      <c r="Z22" s="55">
        <f t="shared" si="22"/>
        <v>663600</v>
      </c>
    </row>
    <row r="23" spans="1:26" ht="12.75" thickTop="1" thickBot="1" x14ac:dyDescent="0.25">
      <c r="A23" s="50" t="s">
        <v>132</v>
      </c>
      <c r="B23" s="51" t="str">
        <f t="shared" si="23"/>
        <v>Dora Luz Montoya</v>
      </c>
      <c r="C23" s="52" t="str">
        <f t="shared" si="0"/>
        <v>Auxiliar Contable</v>
      </c>
      <c r="D23" s="53">
        <v>30</v>
      </c>
      <c r="E23" s="54">
        <f t="shared" si="1"/>
        <v>30000</v>
      </c>
      <c r="F23" s="54">
        <f t="shared" si="2"/>
        <v>900000</v>
      </c>
      <c r="G23" s="53">
        <f t="shared" si="3"/>
        <v>0</v>
      </c>
      <c r="H23" s="53">
        <f t="shared" si="4"/>
        <v>0</v>
      </c>
      <c r="I23" s="53">
        <f t="shared" si="5"/>
        <v>0</v>
      </c>
      <c r="J23" s="53">
        <f t="shared" si="6"/>
        <v>0</v>
      </c>
      <c r="K23" s="55">
        <f t="shared" si="7"/>
        <v>0</v>
      </c>
      <c r="L23" s="55">
        <f t="shared" si="8"/>
        <v>0</v>
      </c>
      <c r="M23" s="55">
        <f t="shared" si="9"/>
        <v>0</v>
      </c>
      <c r="N23" s="55">
        <f t="shared" si="10"/>
        <v>0</v>
      </c>
      <c r="O23" s="55">
        <f t="shared" si="11"/>
        <v>0</v>
      </c>
      <c r="P23" s="54">
        <f t="shared" si="12"/>
        <v>72000</v>
      </c>
      <c r="Q23" s="77">
        <f t="shared" si="13"/>
        <v>0</v>
      </c>
      <c r="R23" s="54">
        <f t="shared" si="14"/>
        <v>30000</v>
      </c>
      <c r="S23" s="55">
        <f t="shared" si="15"/>
        <v>1002000</v>
      </c>
      <c r="T23" s="54">
        <f t="shared" si="16"/>
        <v>37200</v>
      </c>
      <c r="U23" s="54">
        <f t="shared" si="17"/>
        <v>37200</v>
      </c>
      <c r="V23" s="54" t="str">
        <f t="shared" si="18"/>
        <v/>
      </c>
      <c r="W23" s="54">
        <f t="shared" si="19"/>
        <v>93000</v>
      </c>
      <c r="X23" s="54">
        <f t="shared" si="20"/>
        <v>9000</v>
      </c>
      <c r="Y23" s="55">
        <f t="shared" si="21"/>
        <v>176400</v>
      </c>
      <c r="Z23" s="55">
        <f t="shared" si="22"/>
        <v>825600</v>
      </c>
    </row>
    <row r="24" spans="1:26" ht="12.75" thickTop="1" thickBot="1" x14ac:dyDescent="0.25">
      <c r="A24" s="56" t="s">
        <v>133</v>
      </c>
      <c r="B24" s="51" t="str">
        <f t="shared" si="23"/>
        <v>Doralba Galeano</v>
      </c>
      <c r="C24" s="52" t="str">
        <f t="shared" si="0"/>
        <v>Operaria</v>
      </c>
      <c r="D24" s="53">
        <v>30</v>
      </c>
      <c r="E24" s="54">
        <f t="shared" si="1"/>
        <v>20533.333333333332</v>
      </c>
      <c r="F24" s="54">
        <f t="shared" si="2"/>
        <v>616000</v>
      </c>
      <c r="G24" s="53">
        <f t="shared" si="3"/>
        <v>5</v>
      </c>
      <c r="H24" s="53">
        <f t="shared" si="4"/>
        <v>4</v>
      </c>
      <c r="I24" s="53">
        <f t="shared" si="5"/>
        <v>2</v>
      </c>
      <c r="J24" s="53">
        <f t="shared" si="6"/>
        <v>1</v>
      </c>
      <c r="K24" s="55">
        <f t="shared" si="7"/>
        <v>16041.666666666664</v>
      </c>
      <c r="L24" s="55">
        <f t="shared" si="8"/>
        <v>17966.666666666664</v>
      </c>
      <c r="M24" s="55">
        <f t="shared" si="9"/>
        <v>10266.666666666666</v>
      </c>
      <c r="N24" s="55">
        <f t="shared" si="10"/>
        <v>6416.6666666666661</v>
      </c>
      <c r="O24" s="55">
        <f t="shared" si="11"/>
        <v>50691.666666666657</v>
      </c>
      <c r="P24" s="54">
        <f t="shared" si="12"/>
        <v>72000</v>
      </c>
      <c r="Q24" s="77">
        <f t="shared" si="13"/>
        <v>0</v>
      </c>
      <c r="R24" s="54">
        <f t="shared" si="14"/>
        <v>30000</v>
      </c>
      <c r="S24" s="55">
        <f t="shared" si="15"/>
        <v>768691.66666666663</v>
      </c>
      <c r="T24" s="54">
        <f t="shared" si="16"/>
        <v>27867.666666666664</v>
      </c>
      <c r="U24" s="54">
        <f t="shared" si="17"/>
        <v>27867.666666666664</v>
      </c>
      <c r="V24" s="54" t="str">
        <f t="shared" si="18"/>
        <v/>
      </c>
      <c r="W24" s="54">
        <f t="shared" si="19"/>
        <v>69669.166666666672</v>
      </c>
      <c r="X24" s="54">
        <f t="shared" si="20"/>
        <v>3080</v>
      </c>
      <c r="Y24" s="55">
        <f t="shared" si="21"/>
        <v>128484.5</v>
      </c>
      <c r="Z24" s="55">
        <f t="shared" si="22"/>
        <v>640207.16666666663</v>
      </c>
    </row>
    <row r="25" spans="1:26" ht="12.75" thickTop="1" thickBot="1" x14ac:dyDescent="0.25">
      <c r="A25" s="50" t="s">
        <v>134</v>
      </c>
      <c r="B25" s="51" t="str">
        <f t="shared" si="23"/>
        <v>Eliana Marcela Aguirre</v>
      </c>
      <c r="C25" s="52" t="str">
        <f t="shared" si="0"/>
        <v>Gerente</v>
      </c>
      <c r="D25" s="53">
        <v>30</v>
      </c>
      <c r="E25" s="54">
        <f t="shared" si="1"/>
        <v>233333.33333333334</v>
      </c>
      <c r="F25" s="54">
        <f t="shared" si="2"/>
        <v>7000000</v>
      </c>
      <c r="G25" s="53">
        <f t="shared" si="3"/>
        <v>0</v>
      </c>
      <c r="H25" s="53">
        <f t="shared" si="4"/>
        <v>0</v>
      </c>
      <c r="I25" s="53">
        <f t="shared" si="5"/>
        <v>0</v>
      </c>
      <c r="J25" s="53">
        <f t="shared" si="6"/>
        <v>0</v>
      </c>
      <c r="K25" s="55">
        <f t="shared" si="7"/>
        <v>0</v>
      </c>
      <c r="L25" s="55">
        <f t="shared" si="8"/>
        <v>0</v>
      </c>
      <c r="M25" s="55">
        <f t="shared" si="9"/>
        <v>0</v>
      </c>
      <c r="N25" s="55">
        <f t="shared" si="10"/>
        <v>0</v>
      </c>
      <c r="O25" s="55">
        <f t="shared" si="11"/>
        <v>0</v>
      </c>
      <c r="P25" s="54">
        <f t="shared" si="12"/>
        <v>0</v>
      </c>
      <c r="Q25" s="77">
        <f t="shared" si="13"/>
        <v>0</v>
      </c>
      <c r="R25" s="54">
        <f t="shared" si="14"/>
        <v>30000</v>
      </c>
      <c r="S25" s="55">
        <f t="shared" si="15"/>
        <v>7030000</v>
      </c>
      <c r="T25" s="54">
        <f t="shared" si="16"/>
        <v>281200</v>
      </c>
      <c r="U25" s="54">
        <f t="shared" si="17"/>
        <v>281200</v>
      </c>
      <c r="V25" s="54">
        <f t="shared" si="18"/>
        <v>70300</v>
      </c>
      <c r="W25" s="54">
        <f t="shared" si="19"/>
        <v>703000</v>
      </c>
      <c r="X25" s="54">
        <f t="shared" si="20"/>
        <v>70000</v>
      </c>
      <c r="Y25" s="55">
        <f t="shared" si="21"/>
        <v>1405700</v>
      </c>
      <c r="Z25" s="55">
        <f t="shared" si="22"/>
        <v>5624300</v>
      </c>
    </row>
    <row r="26" spans="1:26" ht="12.75" thickTop="1" thickBot="1" x14ac:dyDescent="0.25">
      <c r="A26" s="56" t="s">
        <v>135</v>
      </c>
      <c r="B26" s="51" t="str">
        <f t="shared" si="23"/>
        <v>Francy Ruby Román</v>
      </c>
      <c r="C26" s="52" t="str">
        <f t="shared" si="0"/>
        <v>Auxiliar Contable</v>
      </c>
      <c r="D26" s="53">
        <v>30</v>
      </c>
      <c r="E26" s="54">
        <f t="shared" si="1"/>
        <v>30000</v>
      </c>
      <c r="F26" s="54">
        <f t="shared" si="2"/>
        <v>900000</v>
      </c>
      <c r="G26" s="53">
        <f t="shared" si="3"/>
        <v>0</v>
      </c>
      <c r="H26" s="53">
        <f t="shared" si="4"/>
        <v>0</v>
      </c>
      <c r="I26" s="53">
        <f t="shared" si="5"/>
        <v>0</v>
      </c>
      <c r="J26" s="53">
        <f t="shared" si="6"/>
        <v>0</v>
      </c>
      <c r="K26" s="55">
        <f t="shared" si="7"/>
        <v>0</v>
      </c>
      <c r="L26" s="55">
        <f t="shared" si="8"/>
        <v>0</v>
      </c>
      <c r="M26" s="55">
        <f t="shared" si="9"/>
        <v>0</v>
      </c>
      <c r="N26" s="55">
        <f t="shared" si="10"/>
        <v>0</v>
      </c>
      <c r="O26" s="55">
        <f t="shared" si="11"/>
        <v>0</v>
      </c>
      <c r="P26" s="54">
        <f t="shared" si="12"/>
        <v>72000</v>
      </c>
      <c r="Q26" s="77">
        <f t="shared" si="13"/>
        <v>0</v>
      </c>
      <c r="R26" s="54">
        <f t="shared" si="14"/>
        <v>30000</v>
      </c>
      <c r="S26" s="55">
        <f t="shared" si="15"/>
        <v>1002000</v>
      </c>
      <c r="T26" s="54">
        <f t="shared" si="16"/>
        <v>37200</v>
      </c>
      <c r="U26" s="54">
        <f t="shared" si="17"/>
        <v>37200</v>
      </c>
      <c r="V26" s="54" t="str">
        <f t="shared" si="18"/>
        <v/>
      </c>
      <c r="W26" s="54">
        <f t="shared" si="19"/>
        <v>93000</v>
      </c>
      <c r="X26" s="54">
        <f t="shared" si="20"/>
        <v>9000</v>
      </c>
      <c r="Y26" s="55">
        <f t="shared" si="21"/>
        <v>176400</v>
      </c>
      <c r="Z26" s="55">
        <f t="shared" si="22"/>
        <v>825600</v>
      </c>
    </row>
    <row r="27" spans="1:26" ht="12.75" thickTop="1" thickBot="1" x14ac:dyDescent="0.25">
      <c r="A27" s="50" t="s">
        <v>136</v>
      </c>
      <c r="B27" s="51" t="str">
        <f t="shared" si="23"/>
        <v>Hernán Darío Hernández</v>
      </c>
      <c r="C27" s="52" t="str">
        <f t="shared" si="0"/>
        <v>Vendedor</v>
      </c>
      <c r="D27" s="53">
        <v>30</v>
      </c>
      <c r="E27" s="54">
        <f t="shared" si="1"/>
        <v>20666.666666666668</v>
      </c>
      <c r="F27" s="54">
        <f t="shared" si="2"/>
        <v>620000</v>
      </c>
      <c r="G27" s="53">
        <f t="shared" si="3"/>
        <v>0</v>
      </c>
      <c r="H27" s="53">
        <f t="shared" si="4"/>
        <v>0</v>
      </c>
      <c r="I27" s="53">
        <f t="shared" si="5"/>
        <v>0</v>
      </c>
      <c r="J27" s="53">
        <f t="shared" si="6"/>
        <v>0</v>
      </c>
      <c r="K27" s="55">
        <f t="shared" si="7"/>
        <v>0</v>
      </c>
      <c r="L27" s="55">
        <f t="shared" si="8"/>
        <v>0</v>
      </c>
      <c r="M27" s="55">
        <f t="shared" si="9"/>
        <v>0</v>
      </c>
      <c r="N27" s="55">
        <f t="shared" si="10"/>
        <v>0</v>
      </c>
      <c r="O27" s="55">
        <f t="shared" si="11"/>
        <v>0</v>
      </c>
      <c r="P27" s="54">
        <f t="shared" si="12"/>
        <v>72000</v>
      </c>
      <c r="Q27" s="77">
        <f t="shared" si="13"/>
        <v>44999.999999999993</v>
      </c>
      <c r="R27" s="54">
        <f t="shared" si="14"/>
        <v>30000</v>
      </c>
      <c r="S27" s="55">
        <f t="shared" si="15"/>
        <v>767000</v>
      </c>
      <c r="T27" s="54">
        <f t="shared" si="16"/>
        <v>27800</v>
      </c>
      <c r="U27" s="54">
        <f t="shared" si="17"/>
        <v>27800</v>
      </c>
      <c r="V27" s="54" t="str">
        <f t="shared" si="18"/>
        <v/>
      </c>
      <c r="W27" s="54">
        <f t="shared" si="19"/>
        <v>69500</v>
      </c>
      <c r="X27" s="54">
        <f t="shared" si="20"/>
        <v>3100</v>
      </c>
      <c r="Y27" s="55">
        <f t="shared" si="21"/>
        <v>128200</v>
      </c>
      <c r="Z27" s="55">
        <f t="shared" si="22"/>
        <v>638800</v>
      </c>
    </row>
    <row r="28" spans="1:26" ht="12.75" thickTop="1" thickBot="1" x14ac:dyDescent="0.25">
      <c r="A28" s="50" t="s">
        <v>137</v>
      </c>
      <c r="B28" s="51" t="str">
        <f t="shared" si="23"/>
        <v>Leidy Maritza Herrera</v>
      </c>
      <c r="C28" s="52" t="str">
        <f t="shared" si="0"/>
        <v>Operaria</v>
      </c>
      <c r="D28" s="53">
        <v>30</v>
      </c>
      <c r="E28" s="54">
        <f t="shared" si="1"/>
        <v>20533.333333333332</v>
      </c>
      <c r="F28" s="54">
        <f t="shared" si="2"/>
        <v>616000</v>
      </c>
      <c r="G28" s="53">
        <f t="shared" si="3"/>
        <v>5</v>
      </c>
      <c r="H28" s="53">
        <f t="shared" si="4"/>
        <v>4</v>
      </c>
      <c r="I28" s="53">
        <f t="shared" si="5"/>
        <v>2</v>
      </c>
      <c r="J28" s="53">
        <f t="shared" si="6"/>
        <v>1</v>
      </c>
      <c r="K28" s="55">
        <f t="shared" si="7"/>
        <v>16041.666666666664</v>
      </c>
      <c r="L28" s="55">
        <f t="shared" si="8"/>
        <v>17966.666666666664</v>
      </c>
      <c r="M28" s="55">
        <f t="shared" si="9"/>
        <v>10266.666666666666</v>
      </c>
      <c r="N28" s="55">
        <f t="shared" si="10"/>
        <v>6416.6666666666661</v>
      </c>
      <c r="O28" s="55">
        <f t="shared" si="11"/>
        <v>50691.666666666657</v>
      </c>
      <c r="P28" s="54">
        <f t="shared" si="12"/>
        <v>72000</v>
      </c>
      <c r="Q28" s="77">
        <f t="shared" si="13"/>
        <v>0</v>
      </c>
      <c r="R28" s="54">
        <f t="shared" si="14"/>
        <v>30000</v>
      </c>
      <c r="S28" s="55">
        <f t="shared" si="15"/>
        <v>768691.66666666663</v>
      </c>
      <c r="T28" s="54">
        <f t="shared" si="16"/>
        <v>27867.666666666664</v>
      </c>
      <c r="U28" s="54">
        <f t="shared" si="17"/>
        <v>27867.666666666664</v>
      </c>
      <c r="V28" s="54" t="str">
        <f t="shared" si="18"/>
        <v/>
      </c>
      <c r="W28" s="54">
        <f t="shared" si="19"/>
        <v>69669.166666666672</v>
      </c>
      <c r="X28" s="54">
        <f t="shared" si="20"/>
        <v>3080</v>
      </c>
      <c r="Y28" s="55">
        <f t="shared" si="21"/>
        <v>128484.5</v>
      </c>
      <c r="Z28" s="55">
        <f t="shared" si="22"/>
        <v>640207.16666666663</v>
      </c>
    </row>
    <row r="29" spans="1:26" ht="12.75" thickTop="1" thickBot="1" x14ac:dyDescent="0.25">
      <c r="A29" s="56" t="s">
        <v>138</v>
      </c>
      <c r="B29" s="51" t="str">
        <f t="shared" si="23"/>
        <v>Leidy Rosalía Galvis</v>
      </c>
      <c r="C29" s="52" t="str">
        <f t="shared" si="0"/>
        <v>Auxiliar Contable</v>
      </c>
      <c r="D29" s="53">
        <v>30</v>
      </c>
      <c r="E29" s="54">
        <f t="shared" si="1"/>
        <v>30000</v>
      </c>
      <c r="F29" s="54">
        <f t="shared" si="2"/>
        <v>900000</v>
      </c>
      <c r="G29" s="53">
        <f t="shared" si="3"/>
        <v>0</v>
      </c>
      <c r="H29" s="53">
        <f t="shared" si="4"/>
        <v>0</v>
      </c>
      <c r="I29" s="53">
        <f t="shared" si="5"/>
        <v>0</v>
      </c>
      <c r="J29" s="53">
        <f t="shared" si="6"/>
        <v>0</v>
      </c>
      <c r="K29" s="55">
        <f t="shared" si="7"/>
        <v>0</v>
      </c>
      <c r="L29" s="55">
        <f t="shared" si="8"/>
        <v>0</v>
      </c>
      <c r="M29" s="55">
        <f t="shared" si="9"/>
        <v>0</v>
      </c>
      <c r="N29" s="55">
        <f t="shared" si="10"/>
        <v>0</v>
      </c>
      <c r="O29" s="55">
        <f t="shared" si="11"/>
        <v>0</v>
      </c>
      <c r="P29" s="54">
        <f t="shared" si="12"/>
        <v>72000</v>
      </c>
      <c r="Q29" s="77">
        <f t="shared" si="13"/>
        <v>0</v>
      </c>
      <c r="R29" s="54">
        <f t="shared" si="14"/>
        <v>30000</v>
      </c>
      <c r="S29" s="55">
        <f t="shared" si="15"/>
        <v>1002000</v>
      </c>
      <c r="T29" s="54">
        <f t="shared" si="16"/>
        <v>37200</v>
      </c>
      <c r="U29" s="54">
        <f t="shared" si="17"/>
        <v>37200</v>
      </c>
      <c r="V29" s="54" t="str">
        <f t="shared" si="18"/>
        <v/>
      </c>
      <c r="W29" s="54">
        <f t="shared" si="19"/>
        <v>93000</v>
      </c>
      <c r="X29" s="54">
        <f t="shared" si="20"/>
        <v>9000</v>
      </c>
      <c r="Y29" s="55">
        <f t="shared" si="21"/>
        <v>176400</v>
      </c>
      <c r="Z29" s="55">
        <f t="shared" si="22"/>
        <v>825600</v>
      </c>
    </row>
    <row r="30" spans="1:26" ht="12.75" thickTop="1" thickBot="1" x14ac:dyDescent="0.25">
      <c r="A30" s="50" t="s">
        <v>139</v>
      </c>
      <c r="B30" s="51" t="str">
        <f t="shared" si="23"/>
        <v>Luis Fernando Vanegas</v>
      </c>
      <c r="C30" s="52" t="str">
        <f t="shared" si="0"/>
        <v>Digitador</v>
      </c>
      <c r="D30" s="53">
        <v>30</v>
      </c>
      <c r="E30" s="54">
        <f t="shared" si="1"/>
        <v>23333.333333333332</v>
      </c>
      <c r="F30" s="54">
        <f t="shared" si="2"/>
        <v>700000</v>
      </c>
      <c r="G30" s="53">
        <f t="shared" si="3"/>
        <v>0</v>
      </c>
      <c r="H30" s="53">
        <f t="shared" si="4"/>
        <v>0</v>
      </c>
      <c r="I30" s="53">
        <f t="shared" si="5"/>
        <v>0</v>
      </c>
      <c r="J30" s="53">
        <f t="shared" si="6"/>
        <v>0</v>
      </c>
      <c r="K30" s="55">
        <f t="shared" si="7"/>
        <v>0</v>
      </c>
      <c r="L30" s="55">
        <f t="shared" si="8"/>
        <v>0</v>
      </c>
      <c r="M30" s="55">
        <f t="shared" si="9"/>
        <v>0</v>
      </c>
      <c r="N30" s="55">
        <f t="shared" si="10"/>
        <v>0</v>
      </c>
      <c r="O30" s="55">
        <f t="shared" si="11"/>
        <v>0</v>
      </c>
      <c r="P30" s="54">
        <f t="shared" si="12"/>
        <v>72000</v>
      </c>
      <c r="Q30" s="77">
        <f t="shared" si="13"/>
        <v>0</v>
      </c>
      <c r="R30" s="54">
        <f t="shared" si="14"/>
        <v>30000</v>
      </c>
      <c r="S30" s="55">
        <f t="shared" si="15"/>
        <v>802000</v>
      </c>
      <c r="T30" s="54">
        <f t="shared" si="16"/>
        <v>29200</v>
      </c>
      <c r="U30" s="54">
        <f t="shared" si="17"/>
        <v>29200</v>
      </c>
      <c r="V30" s="54" t="str">
        <f t="shared" si="18"/>
        <v/>
      </c>
      <c r="W30" s="54">
        <f t="shared" si="19"/>
        <v>73000</v>
      </c>
      <c r="X30" s="54">
        <f t="shared" si="20"/>
        <v>7000</v>
      </c>
      <c r="Y30" s="55">
        <f t="shared" si="21"/>
        <v>138400</v>
      </c>
      <c r="Z30" s="55">
        <f t="shared" si="22"/>
        <v>663600</v>
      </c>
    </row>
    <row r="31" spans="1:26" ht="12.75" thickTop="1" thickBot="1" x14ac:dyDescent="0.25">
      <c r="A31" s="56" t="s">
        <v>140</v>
      </c>
      <c r="B31" s="51" t="str">
        <f t="shared" si="23"/>
        <v>Liliana Ríos</v>
      </c>
      <c r="C31" s="52" t="str">
        <f t="shared" si="0"/>
        <v>Vendedor</v>
      </c>
      <c r="D31" s="53">
        <v>30</v>
      </c>
      <c r="E31" s="54">
        <f t="shared" si="1"/>
        <v>20666.666666666668</v>
      </c>
      <c r="F31" s="54">
        <f t="shared" si="2"/>
        <v>620000</v>
      </c>
      <c r="G31" s="53">
        <f t="shared" si="3"/>
        <v>0</v>
      </c>
      <c r="H31" s="53">
        <f t="shared" si="4"/>
        <v>0</v>
      </c>
      <c r="I31" s="53">
        <f t="shared" si="5"/>
        <v>0</v>
      </c>
      <c r="J31" s="53">
        <f t="shared" si="6"/>
        <v>0</v>
      </c>
      <c r="K31" s="55">
        <f t="shared" si="7"/>
        <v>0</v>
      </c>
      <c r="L31" s="55">
        <f t="shared" si="8"/>
        <v>0</v>
      </c>
      <c r="M31" s="55">
        <f t="shared" si="9"/>
        <v>0</v>
      </c>
      <c r="N31" s="55">
        <f t="shared" si="10"/>
        <v>0</v>
      </c>
      <c r="O31" s="55">
        <f t="shared" si="11"/>
        <v>0</v>
      </c>
      <c r="P31" s="54">
        <f t="shared" si="12"/>
        <v>72000</v>
      </c>
      <c r="Q31" s="77">
        <f t="shared" si="13"/>
        <v>44999.999999999993</v>
      </c>
      <c r="R31" s="54">
        <f t="shared" si="14"/>
        <v>30000</v>
      </c>
      <c r="S31" s="55">
        <f t="shared" si="15"/>
        <v>767000</v>
      </c>
      <c r="T31" s="54">
        <f t="shared" si="16"/>
        <v>27800</v>
      </c>
      <c r="U31" s="54">
        <f t="shared" si="17"/>
        <v>27800</v>
      </c>
      <c r="V31" s="54" t="str">
        <f t="shared" si="18"/>
        <v/>
      </c>
      <c r="W31" s="54">
        <f t="shared" si="19"/>
        <v>69500</v>
      </c>
      <c r="X31" s="54">
        <f t="shared" si="20"/>
        <v>3100</v>
      </c>
      <c r="Y31" s="55">
        <f t="shared" si="21"/>
        <v>128200</v>
      </c>
      <c r="Z31" s="55">
        <f t="shared" si="22"/>
        <v>638800</v>
      </c>
    </row>
    <row r="32" spans="1:26" ht="12.75" thickTop="1" thickBot="1" x14ac:dyDescent="0.25">
      <c r="A32" s="50" t="s">
        <v>141</v>
      </c>
      <c r="B32" s="51" t="str">
        <f t="shared" si="23"/>
        <v>Luz Enith Betancur</v>
      </c>
      <c r="C32" s="52" t="str">
        <f t="shared" si="0"/>
        <v>Auxiliar Contable</v>
      </c>
      <c r="D32" s="53">
        <v>30</v>
      </c>
      <c r="E32" s="54">
        <f t="shared" si="1"/>
        <v>30000</v>
      </c>
      <c r="F32" s="54">
        <f t="shared" si="2"/>
        <v>900000</v>
      </c>
      <c r="G32" s="53">
        <f t="shared" si="3"/>
        <v>0</v>
      </c>
      <c r="H32" s="53">
        <f t="shared" si="4"/>
        <v>0</v>
      </c>
      <c r="I32" s="53">
        <f t="shared" si="5"/>
        <v>0</v>
      </c>
      <c r="J32" s="53">
        <f t="shared" si="6"/>
        <v>0</v>
      </c>
      <c r="K32" s="55">
        <f t="shared" si="7"/>
        <v>0</v>
      </c>
      <c r="L32" s="55">
        <f t="shared" si="8"/>
        <v>0</v>
      </c>
      <c r="M32" s="55">
        <f t="shared" si="9"/>
        <v>0</v>
      </c>
      <c r="N32" s="55">
        <f t="shared" si="10"/>
        <v>0</v>
      </c>
      <c r="O32" s="55">
        <f t="shared" si="11"/>
        <v>0</v>
      </c>
      <c r="P32" s="54">
        <f t="shared" si="12"/>
        <v>72000</v>
      </c>
      <c r="Q32" s="77">
        <f t="shared" si="13"/>
        <v>0</v>
      </c>
      <c r="R32" s="54">
        <f t="shared" si="14"/>
        <v>30000</v>
      </c>
      <c r="S32" s="55">
        <f t="shared" si="15"/>
        <v>1002000</v>
      </c>
      <c r="T32" s="54">
        <f t="shared" si="16"/>
        <v>37200</v>
      </c>
      <c r="U32" s="54">
        <f t="shared" si="17"/>
        <v>37200</v>
      </c>
      <c r="V32" s="54" t="str">
        <f t="shared" si="18"/>
        <v/>
      </c>
      <c r="W32" s="54">
        <f t="shared" si="19"/>
        <v>93000</v>
      </c>
      <c r="X32" s="54">
        <f t="shared" si="20"/>
        <v>9000</v>
      </c>
      <c r="Y32" s="55">
        <f t="shared" si="21"/>
        <v>176400</v>
      </c>
      <c r="Z32" s="55">
        <f t="shared" si="22"/>
        <v>825600</v>
      </c>
    </row>
    <row r="33" spans="1:26" ht="12.75" thickTop="1" thickBot="1" x14ac:dyDescent="0.25">
      <c r="A33" s="56" t="s">
        <v>142</v>
      </c>
      <c r="B33" s="51" t="str">
        <f t="shared" si="23"/>
        <v>Maricela López</v>
      </c>
      <c r="C33" s="52" t="str">
        <f t="shared" si="0"/>
        <v>Operaria</v>
      </c>
      <c r="D33" s="53">
        <v>30</v>
      </c>
      <c r="E33" s="54">
        <f t="shared" si="1"/>
        <v>20533.333333333332</v>
      </c>
      <c r="F33" s="54">
        <f t="shared" si="2"/>
        <v>616000</v>
      </c>
      <c r="G33" s="53">
        <f t="shared" si="3"/>
        <v>5</v>
      </c>
      <c r="H33" s="53">
        <f t="shared" si="4"/>
        <v>4</v>
      </c>
      <c r="I33" s="53">
        <f t="shared" si="5"/>
        <v>2</v>
      </c>
      <c r="J33" s="53">
        <f t="shared" si="6"/>
        <v>1</v>
      </c>
      <c r="K33" s="55">
        <f t="shared" si="7"/>
        <v>16041.666666666664</v>
      </c>
      <c r="L33" s="55">
        <f t="shared" si="8"/>
        <v>17966.666666666664</v>
      </c>
      <c r="M33" s="55">
        <f t="shared" si="9"/>
        <v>10266.666666666666</v>
      </c>
      <c r="N33" s="55">
        <f t="shared" si="10"/>
        <v>6416.6666666666661</v>
      </c>
      <c r="O33" s="55">
        <f t="shared" si="11"/>
        <v>50691.666666666657</v>
      </c>
      <c r="P33" s="54">
        <f t="shared" si="12"/>
        <v>72000</v>
      </c>
      <c r="Q33" s="77">
        <f t="shared" si="13"/>
        <v>0</v>
      </c>
      <c r="R33" s="54">
        <f t="shared" si="14"/>
        <v>30000</v>
      </c>
      <c r="S33" s="55">
        <f t="shared" si="15"/>
        <v>768691.66666666663</v>
      </c>
      <c r="T33" s="54">
        <f t="shared" si="16"/>
        <v>27867.666666666664</v>
      </c>
      <c r="U33" s="54">
        <f t="shared" si="17"/>
        <v>27867.666666666664</v>
      </c>
      <c r="V33" s="54" t="str">
        <f t="shared" si="18"/>
        <v/>
      </c>
      <c r="W33" s="54">
        <f t="shared" si="19"/>
        <v>69669.166666666672</v>
      </c>
      <c r="X33" s="54">
        <f t="shared" si="20"/>
        <v>3080</v>
      </c>
      <c r="Y33" s="55">
        <f t="shared" si="21"/>
        <v>128484.5</v>
      </c>
      <c r="Z33" s="55">
        <f t="shared" si="22"/>
        <v>640207.16666666663</v>
      </c>
    </row>
    <row r="34" spans="1:26" ht="12.75" thickTop="1" thickBot="1" x14ac:dyDescent="0.25">
      <c r="A34" s="50" t="s">
        <v>143</v>
      </c>
      <c r="B34" s="51" t="str">
        <f t="shared" si="23"/>
        <v>Martha Deisy Ceballos</v>
      </c>
      <c r="C34" s="52" t="str">
        <f t="shared" si="0"/>
        <v>Digitadora</v>
      </c>
      <c r="D34" s="53">
        <v>30</v>
      </c>
      <c r="E34" s="54">
        <f t="shared" si="1"/>
        <v>23333.333333333332</v>
      </c>
      <c r="F34" s="54">
        <f t="shared" si="2"/>
        <v>700000</v>
      </c>
      <c r="G34" s="53">
        <f t="shared" si="3"/>
        <v>0</v>
      </c>
      <c r="H34" s="53">
        <f t="shared" si="4"/>
        <v>0</v>
      </c>
      <c r="I34" s="53">
        <f t="shared" si="5"/>
        <v>0</v>
      </c>
      <c r="J34" s="53">
        <f t="shared" si="6"/>
        <v>0</v>
      </c>
      <c r="K34" s="55">
        <f t="shared" si="7"/>
        <v>0</v>
      </c>
      <c r="L34" s="55">
        <f t="shared" si="8"/>
        <v>0</v>
      </c>
      <c r="M34" s="55">
        <f t="shared" si="9"/>
        <v>0</v>
      </c>
      <c r="N34" s="55">
        <f t="shared" si="10"/>
        <v>0</v>
      </c>
      <c r="O34" s="55">
        <f t="shared" si="11"/>
        <v>0</v>
      </c>
      <c r="P34" s="54">
        <f t="shared" si="12"/>
        <v>72000</v>
      </c>
      <c r="Q34" s="77">
        <f t="shared" si="13"/>
        <v>0</v>
      </c>
      <c r="R34" s="54">
        <f t="shared" si="14"/>
        <v>30000</v>
      </c>
      <c r="S34" s="55">
        <f t="shared" si="15"/>
        <v>802000</v>
      </c>
      <c r="T34" s="54">
        <f t="shared" si="16"/>
        <v>29200</v>
      </c>
      <c r="U34" s="54">
        <f t="shared" si="17"/>
        <v>29200</v>
      </c>
      <c r="V34" s="54" t="str">
        <f t="shared" si="18"/>
        <v/>
      </c>
      <c r="W34" s="54">
        <f t="shared" si="19"/>
        <v>73000</v>
      </c>
      <c r="X34" s="54">
        <f t="shared" si="20"/>
        <v>7000</v>
      </c>
      <c r="Y34" s="55">
        <f t="shared" si="21"/>
        <v>138400</v>
      </c>
      <c r="Z34" s="55">
        <f t="shared" si="22"/>
        <v>663600</v>
      </c>
    </row>
    <row r="35" spans="1:26" ht="12.75" thickTop="1" thickBot="1" x14ac:dyDescent="0.25">
      <c r="A35" s="56" t="s">
        <v>144</v>
      </c>
      <c r="B35" s="51" t="str">
        <f t="shared" si="23"/>
        <v>Mauricio Alzate</v>
      </c>
      <c r="C35" s="52" t="str">
        <f t="shared" si="0"/>
        <v>Operario</v>
      </c>
      <c r="D35" s="53">
        <v>30</v>
      </c>
      <c r="E35" s="54">
        <f t="shared" si="1"/>
        <v>18890</v>
      </c>
      <c r="F35" s="54">
        <f t="shared" si="2"/>
        <v>566700</v>
      </c>
      <c r="G35" s="53">
        <f t="shared" si="3"/>
        <v>5</v>
      </c>
      <c r="H35" s="53">
        <f t="shared" si="4"/>
        <v>4</v>
      </c>
      <c r="I35" s="53">
        <f t="shared" si="5"/>
        <v>2</v>
      </c>
      <c r="J35" s="53">
        <f t="shared" si="6"/>
        <v>1</v>
      </c>
      <c r="K35" s="55">
        <f t="shared" si="7"/>
        <v>14757.8125</v>
      </c>
      <c r="L35" s="55">
        <f t="shared" si="8"/>
        <v>16528.75</v>
      </c>
      <c r="M35" s="55">
        <f t="shared" si="9"/>
        <v>9445</v>
      </c>
      <c r="N35" s="55">
        <f t="shared" si="10"/>
        <v>5903.125</v>
      </c>
      <c r="O35" s="55">
        <f t="shared" si="11"/>
        <v>46634.6875</v>
      </c>
      <c r="P35" s="54">
        <f t="shared" si="12"/>
        <v>72000</v>
      </c>
      <c r="Q35" s="77">
        <f t="shared" si="13"/>
        <v>0</v>
      </c>
      <c r="R35" s="54">
        <f t="shared" si="14"/>
        <v>44999.999999999993</v>
      </c>
      <c r="S35" s="55">
        <f t="shared" si="15"/>
        <v>730334.6875</v>
      </c>
      <c r="T35" s="54">
        <f t="shared" si="16"/>
        <v>26333.387500000001</v>
      </c>
      <c r="U35" s="54">
        <f t="shared" si="17"/>
        <v>26333.387500000001</v>
      </c>
      <c r="V35" s="54" t="str">
        <f t="shared" si="18"/>
        <v/>
      </c>
      <c r="W35" s="54">
        <f t="shared" si="19"/>
        <v>65833.46875</v>
      </c>
      <c r="X35" s="54">
        <f t="shared" si="20"/>
        <v>2833.5</v>
      </c>
      <c r="Y35" s="55">
        <f t="shared" si="21"/>
        <v>121333.74374999999</v>
      </c>
      <c r="Z35" s="55">
        <f t="shared" si="22"/>
        <v>609000.94374999998</v>
      </c>
    </row>
    <row r="36" spans="1:26" ht="12.75" thickTop="1" thickBot="1" x14ac:dyDescent="0.25">
      <c r="A36" s="50" t="s">
        <v>145</v>
      </c>
      <c r="B36" s="51" t="str">
        <f t="shared" si="23"/>
        <v>Mónica Yurany Giraldo</v>
      </c>
      <c r="C36" s="52" t="str">
        <f t="shared" si="0"/>
        <v>Secretaria</v>
      </c>
      <c r="D36" s="53">
        <v>30</v>
      </c>
      <c r="E36" s="54">
        <f t="shared" si="1"/>
        <v>25000</v>
      </c>
      <c r="F36" s="54">
        <f t="shared" si="2"/>
        <v>750000</v>
      </c>
      <c r="G36" s="53">
        <f t="shared" si="3"/>
        <v>0</v>
      </c>
      <c r="H36" s="53">
        <f t="shared" si="4"/>
        <v>0</v>
      </c>
      <c r="I36" s="53">
        <f t="shared" si="5"/>
        <v>0</v>
      </c>
      <c r="J36" s="53">
        <f t="shared" si="6"/>
        <v>0</v>
      </c>
      <c r="K36" s="55">
        <f t="shared" si="7"/>
        <v>0</v>
      </c>
      <c r="L36" s="55">
        <f t="shared" si="8"/>
        <v>0</v>
      </c>
      <c r="M36" s="55">
        <f t="shared" si="9"/>
        <v>0</v>
      </c>
      <c r="N36" s="55">
        <f t="shared" si="10"/>
        <v>0</v>
      </c>
      <c r="O36" s="55">
        <f t="shared" si="11"/>
        <v>0</v>
      </c>
      <c r="P36" s="54">
        <f t="shared" si="12"/>
        <v>72000</v>
      </c>
      <c r="Q36" s="77">
        <f t="shared" si="13"/>
        <v>0</v>
      </c>
      <c r="R36" s="54">
        <f t="shared" si="14"/>
        <v>30000</v>
      </c>
      <c r="S36" s="55">
        <f t="shared" si="15"/>
        <v>852000</v>
      </c>
      <c r="T36" s="54">
        <f t="shared" si="16"/>
        <v>31200</v>
      </c>
      <c r="U36" s="54">
        <f t="shared" si="17"/>
        <v>31200</v>
      </c>
      <c r="V36" s="54" t="str">
        <f t="shared" si="18"/>
        <v/>
      </c>
      <c r="W36" s="54">
        <f t="shared" si="19"/>
        <v>78000</v>
      </c>
      <c r="X36" s="54">
        <f t="shared" si="20"/>
        <v>7500</v>
      </c>
      <c r="Y36" s="55">
        <f t="shared" si="21"/>
        <v>147900</v>
      </c>
      <c r="Z36" s="55">
        <f t="shared" si="22"/>
        <v>704100</v>
      </c>
    </row>
    <row r="37" spans="1:26" ht="12.75" thickTop="1" thickBot="1" x14ac:dyDescent="0.25">
      <c r="A37" s="56" t="s">
        <v>146</v>
      </c>
      <c r="B37" s="51" t="str">
        <f t="shared" si="23"/>
        <v>Nayibet Galvis</v>
      </c>
      <c r="C37" s="52" t="str">
        <f t="shared" si="0"/>
        <v>Operaria</v>
      </c>
      <c r="D37" s="53">
        <v>30</v>
      </c>
      <c r="E37" s="54">
        <f t="shared" si="1"/>
        <v>20533.333333333332</v>
      </c>
      <c r="F37" s="54">
        <f t="shared" si="2"/>
        <v>616000</v>
      </c>
      <c r="G37" s="53">
        <f t="shared" si="3"/>
        <v>5</v>
      </c>
      <c r="H37" s="53">
        <f t="shared" si="4"/>
        <v>4</v>
      </c>
      <c r="I37" s="53">
        <f t="shared" si="5"/>
        <v>2</v>
      </c>
      <c r="J37" s="53">
        <f t="shared" si="6"/>
        <v>1</v>
      </c>
      <c r="K37" s="55">
        <f t="shared" si="7"/>
        <v>16041.666666666664</v>
      </c>
      <c r="L37" s="55">
        <f t="shared" si="8"/>
        <v>17966.666666666664</v>
      </c>
      <c r="M37" s="55">
        <f t="shared" si="9"/>
        <v>10266.666666666666</v>
      </c>
      <c r="N37" s="55">
        <f t="shared" si="10"/>
        <v>6416.6666666666661</v>
      </c>
      <c r="O37" s="55">
        <f t="shared" si="11"/>
        <v>50691.666666666657</v>
      </c>
      <c r="P37" s="54">
        <f t="shared" si="12"/>
        <v>72000</v>
      </c>
      <c r="Q37" s="77">
        <f t="shared" si="13"/>
        <v>0</v>
      </c>
      <c r="R37" s="54">
        <f t="shared" si="14"/>
        <v>30000</v>
      </c>
      <c r="S37" s="55">
        <f t="shared" si="15"/>
        <v>768691.66666666663</v>
      </c>
      <c r="T37" s="54">
        <f t="shared" si="16"/>
        <v>27867.666666666664</v>
      </c>
      <c r="U37" s="54">
        <f t="shared" si="17"/>
        <v>27867.666666666664</v>
      </c>
      <c r="V37" s="54" t="str">
        <f t="shared" si="18"/>
        <v/>
      </c>
      <c r="W37" s="54">
        <f t="shared" si="19"/>
        <v>69669.166666666672</v>
      </c>
      <c r="X37" s="54">
        <f t="shared" si="20"/>
        <v>3080</v>
      </c>
      <c r="Y37" s="55">
        <f t="shared" si="21"/>
        <v>128484.5</v>
      </c>
      <c r="Z37" s="55">
        <f t="shared" si="22"/>
        <v>640207.16666666663</v>
      </c>
    </row>
    <row r="38" spans="1:26" ht="12.75" thickTop="1" thickBot="1" x14ac:dyDescent="0.25">
      <c r="A38" s="50" t="s">
        <v>147</v>
      </c>
      <c r="B38" s="51" t="str">
        <f t="shared" si="23"/>
        <v>Patricia Rodriguez</v>
      </c>
      <c r="C38" s="52" t="str">
        <f t="shared" si="0"/>
        <v>Operaria</v>
      </c>
      <c r="D38" s="53">
        <v>30</v>
      </c>
      <c r="E38" s="54">
        <f t="shared" si="1"/>
        <v>20533.333333333332</v>
      </c>
      <c r="F38" s="54">
        <f t="shared" si="2"/>
        <v>616000</v>
      </c>
      <c r="G38" s="53">
        <f t="shared" si="3"/>
        <v>5</v>
      </c>
      <c r="H38" s="53">
        <f t="shared" si="4"/>
        <v>4</v>
      </c>
      <c r="I38" s="53">
        <f t="shared" si="5"/>
        <v>2</v>
      </c>
      <c r="J38" s="53">
        <f t="shared" si="6"/>
        <v>1</v>
      </c>
      <c r="K38" s="55">
        <f t="shared" si="7"/>
        <v>16041.666666666664</v>
      </c>
      <c r="L38" s="55">
        <f t="shared" si="8"/>
        <v>17966.666666666664</v>
      </c>
      <c r="M38" s="55">
        <f t="shared" si="9"/>
        <v>10266.666666666666</v>
      </c>
      <c r="N38" s="55">
        <f t="shared" si="10"/>
        <v>6416.6666666666661</v>
      </c>
      <c r="O38" s="55">
        <f t="shared" si="11"/>
        <v>50691.666666666657</v>
      </c>
      <c r="P38" s="54">
        <f t="shared" si="12"/>
        <v>72000</v>
      </c>
      <c r="Q38" s="77">
        <f t="shared" si="13"/>
        <v>0</v>
      </c>
      <c r="R38" s="54">
        <f t="shared" si="14"/>
        <v>30000</v>
      </c>
      <c r="S38" s="55">
        <f t="shared" si="15"/>
        <v>768691.66666666663</v>
      </c>
      <c r="T38" s="54">
        <f t="shared" si="16"/>
        <v>27867.666666666664</v>
      </c>
      <c r="U38" s="54">
        <f t="shared" si="17"/>
        <v>27867.666666666664</v>
      </c>
      <c r="V38" s="54" t="str">
        <f t="shared" si="18"/>
        <v/>
      </c>
      <c r="W38" s="54">
        <f t="shared" si="19"/>
        <v>69669.166666666672</v>
      </c>
      <c r="X38" s="54">
        <f t="shared" si="20"/>
        <v>3080</v>
      </c>
      <c r="Y38" s="55">
        <f t="shared" si="21"/>
        <v>128484.5</v>
      </c>
      <c r="Z38" s="55">
        <f t="shared" si="22"/>
        <v>640207.16666666663</v>
      </c>
    </row>
    <row r="39" spans="1:26" ht="12.75" thickTop="1" thickBot="1" x14ac:dyDescent="0.25">
      <c r="A39" s="56" t="s">
        <v>148</v>
      </c>
      <c r="B39" s="51" t="str">
        <f t="shared" si="23"/>
        <v>Sandra Marcela Rojas</v>
      </c>
      <c r="C39" s="52" t="str">
        <f t="shared" si="0"/>
        <v>Operaria</v>
      </c>
      <c r="D39" s="53">
        <v>30</v>
      </c>
      <c r="E39" s="54">
        <f t="shared" si="1"/>
        <v>20533.333333333332</v>
      </c>
      <c r="F39" s="54">
        <f t="shared" si="2"/>
        <v>616000</v>
      </c>
      <c r="G39" s="53">
        <f t="shared" si="3"/>
        <v>5</v>
      </c>
      <c r="H39" s="53">
        <f t="shared" si="4"/>
        <v>4</v>
      </c>
      <c r="I39" s="53">
        <f t="shared" si="5"/>
        <v>2</v>
      </c>
      <c r="J39" s="53">
        <f t="shared" si="6"/>
        <v>1</v>
      </c>
      <c r="K39" s="55">
        <f t="shared" si="7"/>
        <v>16041.666666666664</v>
      </c>
      <c r="L39" s="55">
        <f t="shared" si="8"/>
        <v>17966.666666666664</v>
      </c>
      <c r="M39" s="55">
        <f t="shared" si="9"/>
        <v>10266.666666666666</v>
      </c>
      <c r="N39" s="55">
        <f t="shared" si="10"/>
        <v>6416.6666666666661</v>
      </c>
      <c r="O39" s="55">
        <f t="shared" si="11"/>
        <v>50691.666666666657</v>
      </c>
      <c r="P39" s="54">
        <f t="shared" si="12"/>
        <v>72000</v>
      </c>
      <c r="Q39" s="77">
        <f t="shared" si="13"/>
        <v>0</v>
      </c>
      <c r="R39" s="54">
        <f t="shared" si="14"/>
        <v>30000</v>
      </c>
      <c r="S39" s="55">
        <f t="shared" si="15"/>
        <v>768691.66666666663</v>
      </c>
      <c r="T39" s="54">
        <f t="shared" si="16"/>
        <v>27867.666666666664</v>
      </c>
      <c r="U39" s="54">
        <f t="shared" si="17"/>
        <v>27867.666666666664</v>
      </c>
      <c r="V39" s="54" t="str">
        <f t="shared" si="18"/>
        <v/>
      </c>
      <c r="W39" s="54">
        <f t="shared" si="19"/>
        <v>69669.166666666672</v>
      </c>
      <c r="X39" s="54">
        <f t="shared" si="20"/>
        <v>3080</v>
      </c>
      <c r="Y39" s="55">
        <f t="shared" si="21"/>
        <v>128484.5</v>
      </c>
      <c r="Z39" s="55">
        <f t="shared" si="22"/>
        <v>640207.16666666663</v>
      </c>
    </row>
    <row r="40" spans="1:26" ht="12.75" thickTop="1" thickBot="1" x14ac:dyDescent="0.25">
      <c r="A40" s="50" t="s">
        <v>149</v>
      </c>
      <c r="B40" s="51" t="str">
        <f t="shared" si="23"/>
        <v>Yeisón Fernando García</v>
      </c>
      <c r="C40" s="52" t="str">
        <f t="shared" si="0"/>
        <v>Auxiliar Contable</v>
      </c>
      <c r="D40" s="53">
        <v>30</v>
      </c>
      <c r="E40" s="54">
        <f t="shared" si="1"/>
        <v>30000</v>
      </c>
      <c r="F40" s="54">
        <f t="shared" si="2"/>
        <v>900000</v>
      </c>
      <c r="G40" s="53">
        <f t="shared" si="3"/>
        <v>0</v>
      </c>
      <c r="H40" s="53">
        <f t="shared" si="4"/>
        <v>0</v>
      </c>
      <c r="I40" s="53">
        <f t="shared" si="5"/>
        <v>0</v>
      </c>
      <c r="J40" s="53">
        <f t="shared" si="6"/>
        <v>0</v>
      </c>
      <c r="K40" s="55">
        <f t="shared" si="7"/>
        <v>0</v>
      </c>
      <c r="L40" s="55">
        <f t="shared" si="8"/>
        <v>0</v>
      </c>
      <c r="M40" s="55">
        <f t="shared" si="9"/>
        <v>0</v>
      </c>
      <c r="N40" s="55">
        <f t="shared" si="10"/>
        <v>0</v>
      </c>
      <c r="O40" s="55">
        <f t="shared" si="11"/>
        <v>0</v>
      </c>
      <c r="P40" s="54">
        <f t="shared" si="12"/>
        <v>72000</v>
      </c>
      <c r="Q40" s="77">
        <f t="shared" si="13"/>
        <v>0</v>
      </c>
      <c r="R40" s="54">
        <f t="shared" si="14"/>
        <v>30000</v>
      </c>
      <c r="S40" s="55">
        <f t="shared" si="15"/>
        <v>1002000</v>
      </c>
      <c r="T40" s="54">
        <f t="shared" si="16"/>
        <v>37200</v>
      </c>
      <c r="U40" s="54">
        <f t="shared" si="17"/>
        <v>37200</v>
      </c>
      <c r="V40" s="54" t="str">
        <f t="shared" si="18"/>
        <v/>
      </c>
      <c r="W40" s="54">
        <f t="shared" si="19"/>
        <v>93000</v>
      </c>
      <c r="X40" s="54">
        <f t="shared" si="20"/>
        <v>9000</v>
      </c>
      <c r="Y40" s="55">
        <f t="shared" si="21"/>
        <v>176400</v>
      </c>
      <c r="Z40" s="55">
        <f t="shared" si="22"/>
        <v>825600</v>
      </c>
    </row>
    <row r="41" spans="1:26" ht="12.75" thickTop="1" thickBot="1" x14ac:dyDescent="0.25">
      <c r="A41" s="50" t="s">
        <v>150</v>
      </c>
      <c r="B41" s="51" t="str">
        <f t="shared" si="23"/>
        <v>Yohiner Tangarife</v>
      </c>
      <c r="C41" s="52" t="str">
        <f t="shared" si="0"/>
        <v>Auxiliar Contable</v>
      </c>
      <c r="D41" s="53">
        <v>30</v>
      </c>
      <c r="E41" s="54">
        <f t="shared" si="1"/>
        <v>30000</v>
      </c>
      <c r="F41" s="54">
        <f t="shared" si="2"/>
        <v>900000</v>
      </c>
      <c r="G41" s="53">
        <f t="shared" si="3"/>
        <v>0</v>
      </c>
      <c r="H41" s="53">
        <f t="shared" si="4"/>
        <v>0</v>
      </c>
      <c r="I41" s="53">
        <f t="shared" si="5"/>
        <v>0</v>
      </c>
      <c r="J41" s="53">
        <f t="shared" si="6"/>
        <v>0</v>
      </c>
      <c r="K41" s="55">
        <f t="shared" si="7"/>
        <v>0</v>
      </c>
      <c r="L41" s="55">
        <f t="shared" si="8"/>
        <v>0</v>
      </c>
      <c r="M41" s="55">
        <f t="shared" si="9"/>
        <v>0</v>
      </c>
      <c r="N41" s="55">
        <f t="shared" si="10"/>
        <v>0</v>
      </c>
      <c r="O41" s="55">
        <f t="shared" si="11"/>
        <v>0</v>
      </c>
      <c r="P41" s="54">
        <f t="shared" si="12"/>
        <v>72000</v>
      </c>
      <c r="Q41" s="77">
        <f t="shared" si="13"/>
        <v>0</v>
      </c>
      <c r="R41" s="54">
        <f t="shared" si="14"/>
        <v>30000</v>
      </c>
      <c r="S41" s="55">
        <f t="shared" si="15"/>
        <v>1002000</v>
      </c>
      <c r="T41" s="54">
        <f t="shared" si="16"/>
        <v>37200</v>
      </c>
      <c r="U41" s="54">
        <f t="shared" si="17"/>
        <v>37200</v>
      </c>
      <c r="V41" s="54" t="str">
        <f t="shared" si="18"/>
        <v/>
      </c>
      <c r="W41" s="54">
        <f t="shared" si="19"/>
        <v>93000</v>
      </c>
      <c r="X41" s="54">
        <f t="shared" si="20"/>
        <v>9000</v>
      </c>
      <c r="Y41" s="55">
        <f t="shared" si="21"/>
        <v>176400</v>
      </c>
      <c r="Z41" s="55">
        <f t="shared" si="22"/>
        <v>825600</v>
      </c>
    </row>
    <row r="42" spans="1:26" ht="12.75" thickTop="1" thickBot="1" x14ac:dyDescent="0.25">
      <c r="A42" s="56" t="s">
        <v>151</v>
      </c>
      <c r="B42" s="51" t="str">
        <f t="shared" si="23"/>
        <v>Yuliana Cardona</v>
      </c>
      <c r="C42" s="52" t="str">
        <f t="shared" si="0"/>
        <v>Digitadora</v>
      </c>
      <c r="D42" s="53">
        <v>30</v>
      </c>
      <c r="E42" s="54">
        <f t="shared" si="1"/>
        <v>23333.333333333332</v>
      </c>
      <c r="F42" s="54">
        <f t="shared" si="2"/>
        <v>700000</v>
      </c>
      <c r="G42" s="53">
        <f t="shared" si="3"/>
        <v>0</v>
      </c>
      <c r="H42" s="53">
        <f t="shared" si="4"/>
        <v>0</v>
      </c>
      <c r="I42" s="53">
        <f t="shared" si="5"/>
        <v>0</v>
      </c>
      <c r="J42" s="53">
        <f t="shared" si="6"/>
        <v>0</v>
      </c>
      <c r="K42" s="55">
        <f t="shared" si="7"/>
        <v>0</v>
      </c>
      <c r="L42" s="55">
        <f t="shared" si="8"/>
        <v>0</v>
      </c>
      <c r="M42" s="55">
        <f t="shared" si="9"/>
        <v>0</v>
      </c>
      <c r="N42" s="55">
        <f t="shared" si="10"/>
        <v>0</v>
      </c>
      <c r="O42" s="55">
        <f t="shared" si="11"/>
        <v>0</v>
      </c>
      <c r="P42" s="54">
        <f t="shared" si="12"/>
        <v>72000</v>
      </c>
      <c r="Q42" s="77">
        <f t="shared" si="13"/>
        <v>0</v>
      </c>
      <c r="R42" s="54">
        <f t="shared" si="14"/>
        <v>30000</v>
      </c>
      <c r="S42" s="55">
        <f t="shared" si="15"/>
        <v>802000</v>
      </c>
      <c r="T42" s="54">
        <f t="shared" si="16"/>
        <v>29200</v>
      </c>
      <c r="U42" s="54">
        <f t="shared" si="17"/>
        <v>29200</v>
      </c>
      <c r="V42" s="54" t="str">
        <f t="shared" si="18"/>
        <v/>
      </c>
      <c r="W42" s="54">
        <f t="shared" si="19"/>
        <v>73000</v>
      </c>
      <c r="X42" s="54">
        <f t="shared" si="20"/>
        <v>7000</v>
      </c>
      <c r="Y42" s="55">
        <f t="shared" si="21"/>
        <v>138400</v>
      </c>
      <c r="Z42" s="55">
        <f t="shared" si="22"/>
        <v>663600</v>
      </c>
    </row>
    <row r="43" spans="1:26" ht="12.75" thickTop="1" thickBot="1" x14ac:dyDescent="0.25">
      <c r="A43" s="50"/>
      <c r="B43" s="51"/>
      <c r="C43" s="52"/>
      <c r="D43" s="53"/>
      <c r="E43" s="54"/>
      <c r="F43" s="54"/>
      <c r="G43" s="53"/>
      <c r="H43" s="53"/>
      <c r="I43" s="53"/>
      <c r="J43" s="53"/>
      <c r="K43" s="55"/>
      <c r="L43" s="55"/>
      <c r="M43" s="55"/>
      <c r="N43" s="55"/>
      <c r="O43" s="55"/>
      <c r="P43" s="54"/>
      <c r="Q43" s="54"/>
      <c r="R43" s="54"/>
      <c r="S43" s="55"/>
      <c r="T43" s="54"/>
      <c r="U43" s="54"/>
      <c r="V43" s="54" t="str">
        <f t="shared" si="18"/>
        <v/>
      </c>
      <c r="W43" s="54"/>
      <c r="X43" s="54"/>
      <c r="Y43" s="55"/>
      <c r="Z43" s="55"/>
    </row>
    <row r="44" spans="1:26" ht="13.5" customHeight="1" thickTop="1" thickBot="1" x14ac:dyDescent="0.25">
      <c r="A44" s="89" t="s">
        <v>14</v>
      </c>
      <c r="B44" s="150"/>
      <c r="C44" s="150"/>
      <c r="D44" s="150"/>
      <c r="E44" s="150"/>
      <c r="F44" s="150"/>
      <c r="G44" s="150"/>
      <c r="H44" s="90"/>
      <c r="I44" s="132" t="s">
        <v>21</v>
      </c>
      <c r="J44" s="132"/>
      <c r="K44" s="57" t="s">
        <v>26</v>
      </c>
      <c r="L44" s="57" t="s">
        <v>10</v>
      </c>
      <c r="M44" s="91" t="s">
        <v>88</v>
      </c>
      <c r="N44" s="92"/>
      <c r="O44" s="92"/>
      <c r="P44" s="92"/>
      <c r="Q44" s="92"/>
      <c r="R44" s="93"/>
      <c r="S44" s="29"/>
      <c r="T44" s="31"/>
      <c r="U44" s="29" t="s">
        <v>36</v>
      </c>
      <c r="V44" s="30"/>
      <c r="W44" s="30"/>
      <c r="X44" s="30"/>
      <c r="Y44" s="30"/>
      <c r="Z44" s="31"/>
    </row>
    <row r="45" spans="1:26" ht="12.75" thickTop="1" thickBot="1" x14ac:dyDescent="0.25">
      <c r="A45" s="160" t="s">
        <v>15</v>
      </c>
      <c r="B45" s="161"/>
      <c r="C45" s="161"/>
      <c r="D45" s="161"/>
      <c r="E45" s="162"/>
      <c r="F45" s="151" t="s">
        <v>13</v>
      </c>
      <c r="G45" s="152"/>
      <c r="H45" s="153"/>
      <c r="I45" s="103" t="s">
        <v>6</v>
      </c>
      <c r="J45" s="103"/>
      <c r="K45" s="58">
        <v>0</v>
      </c>
      <c r="L45" s="59">
        <f>(E52-E49)*$K$45</f>
        <v>0</v>
      </c>
      <c r="M45" s="94"/>
      <c r="N45" s="95"/>
      <c r="O45" s="95"/>
      <c r="P45" s="95"/>
      <c r="Q45" s="95"/>
      <c r="R45" s="96"/>
      <c r="S45" s="41"/>
      <c r="T45" s="43"/>
      <c r="U45" s="33"/>
      <c r="V45" s="34"/>
      <c r="W45" s="34"/>
      <c r="X45" s="34"/>
      <c r="Y45" s="34"/>
      <c r="Z45" s="35"/>
    </row>
    <row r="46" spans="1:26" ht="12.75" thickTop="1" thickBot="1" x14ac:dyDescent="0.25">
      <c r="A46" s="163"/>
      <c r="B46" s="164"/>
      <c r="C46" s="164"/>
      <c r="D46" s="164"/>
      <c r="E46" s="165"/>
      <c r="F46" s="133" t="s">
        <v>6</v>
      </c>
      <c r="G46" s="133"/>
      <c r="H46" s="79">
        <f>SUM(T13:T43)</f>
        <v>1163913.7208333332</v>
      </c>
      <c r="I46" s="103" t="s">
        <v>7</v>
      </c>
      <c r="J46" s="103"/>
      <c r="K46" s="58">
        <v>0.12</v>
      </c>
      <c r="L46" s="59">
        <f>($E$52-$E$49)*$K$46</f>
        <v>3491741.1625000001</v>
      </c>
      <c r="M46" s="103" t="s">
        <v>27</v>
      </c>
      <c r="N46" s="103"/>
      <c r="O46" s="106">
        <v>616000</v>
      </c>
      <c r="P46" s="106"/>
      <c r="Q46" s="106"/>
      <c r="R46" s="106"/>
      <c r="S46" s="148" t="s">
        <v>80</v>
      </c>
      <c r="T46" s="149"/>
      <c r="U46" s="33"/>
      <c r="V46" s="34"/>
      <c r="W46" s="34"/>
      <c r="X46" s="34"/>
      <c r="Y46" s="34"/>
      <c r="Z46" s="35"/>
    </row>
    <row r="47" spans="1:26" ht="14.25" customHeight="1" thickTop="1" thickBot="1" x14ac:dyDescent="0.25">
      <c r="A47" s="107" t="s">
        <v>37</v>
      </c>
      <c r="B47" s="108"/>
      <c r="C47" s="108"/>
      <c r="D47" s="109"/>
      <c r="E47" s="60">
        <f>SUM(F13:F43)</f>
        <v>27541366.666666668</v>
      </c>
      <c r="F47" s="134" t="s">
        <v>7</v>
      </c>
      <c r="G47" s="135"/>
      <c r="H47" s="138">
        <f>SUM(U13:U43)</f>
        <v>1163913.7208333332</v>
      </c>
      <c r="I47" s="102" t="s">
        <v>20</v>
      </c>
      <c r="J47" s="103"/>
      <c r="K47" s="62">
        <v>8.3299999999999999E-2</v>
      </c>
      <c r="L47" s="59">
        <f>$E$52*$K$47</f>
        <v>2596781.1236354169</v>
      </c>
      <c r="M47" s="103" t="s">
        <v>17</v>
      </c>
      <c r="N47" s="103"/>
      <c r="O47" s="106">
        <v>72000</v>
      </c>
      <c r="P47" s="106"/>
      <c r="Q47" s="106"/>
      <c r="R47" s="106"/>
      <c r="S47" s="63" t="s">
        <v>81</v>
      </c>
      <c r="T47" s="57">
        <v>1.25</v>
      </c>
      <c r="U47" s="33"/>
      <c r="V47" s="34"/>
      <c r="W47" s="34"/>
      <c r="X47" s="34"/>
      <c r="Y47" s="34"/>
      <c r="Z47" s="35"/>
    </row>
    <row r="48" spans="1:26" ht="14.25" customHeight="1" thickTop="1" thickBot="1" x14ac:dyDescent="0.25">
      <c r="A48" s="107" t="s">
        <v>16</v>
      </c>
      <c r="B48" s="108"/>
      <c r="C48" s="108"/>
      <c r="D48" s="109"/>
      <c r="E48" s="60">
        <f>SUM(O14:O43)</f>
        <v>401476.35416666651</v>
      </c>
      <c r="F48" s="136"/>
      <c r="G48" s="137"/>
      <c r="H48" s="139"/>
      <c r="I48" s="102" t="s">
        <v>22</v>
      </c>
      <c r="J48" s="103"/>
      <c r="K48" s="62">
        <v>8.3299999999999999E-2</v>
      </c>
      <c r="L48" s="59">
        <f>$E$52*$K$48</f>
        <v>2596781.1236354169</v>
      </c>
      <c r="M48" s="103" t="s">
        <v>28</v>
      </c>
      <c r="N48" s="103"/>
      <c r="O48" s="104">
        <v>0.04</v>
      </c>
      <c r="P48" s="105"/>
      <c r="Q48" s="105"/>
      <c r="R48" s="105"/>
      <c r="S48" s="63" t="s">
        <v>82</v>
      </c>
      <c r="T48" s="57">
        <v>1.75</v>
      </c>
      <c r="U48" s="33"/>
      <c r="V48" s="34"/>
      <c r="W48" s="34"/>
      <c r="X48" s="34"/>
      <c r="Y48" s="34"/>
      <c r="Z48" s="35"/>
    </row>
    <row r="49" spans="1:26" ht="12.75" thickTop="1" thickBot="1" x14ac:dyDescent="0.25">
      <c r="A49" s="107" t="s">
        <v>17</v>
      </c>
      <c r="B49" s="108"/>
      <c r="C49" s="108"/>
      <c r="D49" s="109"/>
      <c r="E49" s="61">
        <f>SUM(P13:P43)</f>
        <v>2076000</v>
      </c>
      <c r="F49" s="147" t="s">
        <v>8</v>
      </c>
      <c r="G49" s="147"/>
      <c r="H49" s="80">
        <f>SUM(V13:V43)</f>
        <v>70300</v>
      </c>
      <c r="I49" s="103" t="s">
        <v>23</v>
      </c>
      <c r="J49" s="103"/>
      <c r="K49" s="62">
        <v>4.1700000000000001E-2</v>
      </c>
      <c r="L49" s="59">
        <f>($E$52-$E$49)*$K$49</f>
        <v>1213380.0539687502</v>
      </c>
      <c r="M49" s="103" t="s">
        <v>29</v>
      </c>
      <c r="N49" s="103"/>
      <c r="O49" s="104">
        <v>0.04</v>
      </c>
      <c r="P49" s="104"/>
      <c r="Q49" s="104"/>
      <c r="R49" s="104"/>
      <c r="S49" s="63" t="s">
        <v>83</v>
      </c>
      <c r="T49" s="57">
        <v>2</v>
      </c>
      <c r="U49" s="33"/>
      <c r="V49" s="34"/>
      <c r="W49" s="34"/>
      <c r="X49" s="34"/>
      <c r="Y49" s="34"/>
      <c r="Z49" s="35"/>
    </row>
    <row r="50" spans="1:26" ht="12.75" thickTop="1" thickBot="1" x14ac:dyDescent="0.25">
      <c r="A50" s="107" t="s">
        <v>18</v>
      </c>
      <c r="B50" s="108"/>
      <c r="C50" s="108"/>
      <c r="D50" s="109"/>
      <c r="E50" s="61">
        <f>SUM(Q13:Q43)</f>
        <v>224999.99999999997</v>
      </c>
      <c r="F50" s="103" t="s">
        <v>11</v>
      </c>
      <c r="G50" s="103"/>
      <c r="H50" s="60">
        <f>SUM(W14:W44)</f>
        <v>2836784.302083333</v>
      </c>
      <c r="I50" s="103" t="s">
        <v>24</v>
      </c>
      <c r="J50" s="103"/>
      <c r="K50" s="58">
        <v>0</v>
      </c>
      <c r="L50" s="59"/>
      <c r="M50" s="103" t="s">
        <v>30</v>
      </c>
      <c r="N50" s="103"/>
      <c r="O50" s="104">
        <v>0.01</v>
      </c>
      <c r="P50" s="105"/>
      <c r="Q50" s="105"/>
      <c r="R50" s="105"/>
      <c r="S50" s="63" t="s">
        <v>84</v>
      </c>
      <c r="T50" s="57">
        <v>2.5</v>
      </c>
      <c r="U50" s="33"/>
      <c r="V50" s="34"/>
      <c r="W50" s="34"/>
      <c r="X50" s="34"/>
      <c r="Y50" s="34"/>
      <c r="Z50" s="35"/>
    </row>
    <row r="51" spans="1:26" ht="12.75" thickTop="1" thickBot="1" x14ac:dyDescent="0.25">
      <c r="A51" s="107" t="s">
        <v>19</v>
      </c>
      <c r="B51" s="108"/>
      <c r="C51" s="108"/>
      <c r="D51" s="109"/>
      <c r="E51" s="61">
        <f>SUM(R13:R42)</f>
        <v>930000</v>
      </c>
      <c r="F51" s="103" t="s">
        <v>12</v>
      </c>
      <c r="G51" s="103"/>
      <c r="H51" s="60">
        <f>SUM(X15:X44)</f>
        <v>222856.83333333331</v>
      </c>
      <c r="I51" s="103" t="s">
        <v>25</v>
      </c>
      <c r="J51" s="103"/>
      <c r="K51" s="58">
        <v>0</v>
      </c>
      <c r="L51" s="82"/>
      <c r="M51" s="103" t="s">
        <v>31</v>
      </c>
      <c r="N51" s="103"/>
      <c r="O51" s="106">
        <v>150000000</v>
      </c>
      <c r="P51" s="106"/>
      <c r="Q51" s="106"/>
      <c r="R51" s="106"/>
      <c r="S51" s="29"/>
      <c r="T51" s="31"/>
      <c r="U51" s="33"/>
      <c r="V51" s="34"/>
      <c r="W51" s="34"/>
      <c r="X51" s="34"/>
      <c r="Y51" s="34"/>
      <c r="Z51" s="35"/>
    </row>
    <row r="52" spans="1:26" ht="12.75" thickTop="1" thickBot="1" x14ac:dyDescent="0.25">
      <c r="A52" s="110" t="s">
        <v>40</v>
      </c>
      <c r="B52" s="122"/>
      <c r="C52" s="122"/>
      <c r="D52" s="111"/>
      <c r="E52" s="120">
        <f>SUM(E47:E51)</f>
        <v>31173843.020833336</v>
      </c>
      <c r="F52" s="110" t="s">
        <v>42</v>
      </c>
      <c r="G52" s="111"/>
      <c r="H52" s="125">
        <f>SUM(H46:H51)</f>
        <v>5457768.5770833325</v>
      </c>
      <c r="I52" s="103" t="s">
        <v>167</v>
      </c>
      <c r="J52" s="103"/>
      <c r="K52" s="81">
        <v>0.01</v>
      </c>
      <c r="L52" s="83">
        <f>L47*$K$52</f>
        <v>25967.81123635417</v>
      </c>
      <c r="M52" s="102" t="s">
        <v>32</v>
      </c>
      <c r="N52" s="103"/>
      <c r="O52" s="101">
        <v>2.9999999999999997E-4</v>
      </c>
      <c r="P52" s="101"/>
      <c r="Q52" s="101"/>
      <c r="R52" s="101"/>
      <c r="S52" s="33"/>
      <c r="T52" s="35"/>
      <c r="U52" s="33"/>
      <c r="V52" s="34"/>
      <c r="W52" s="34"/>
      <c r="X52" s="34"/>
      <c r="Y52" s="34"/>
      <c r="Z52" s="35"/>
    </row>
    <row r="53" spans="1:26" ht="14.25" customHeight="1" thickTop="1" thickBot="1" x14ac:dyDescent="0.25">
      <c r="A53" s="112"/>
      <c r="B53" s="123"/>
      <c r="C53" s="123"/>
      <c r="D53" s="113"/>
      <c r="E53" s="121"/>
      <c r="F53" s="112"/>
      <c r="G53" s="113"/>
      <c r="H53" s="126"/>
      <c r="I53" s="140" t="s">
        <v>168</v>
      </c>
      <c r="J53" s="102"/>
      <c r="K53" s="78">
        <v>0.04</v>
      </c>
      <c r="L53" s="83">
        <f>$E$47*$K$53</f>
        <v>1101654.6666666667</v>
      </c>
      <c r="M53" s="102" t="s">
        <v>33</v>
      </c>
      <c r="N53" s="103"/>
      <c r="O53" s="58">
        <v>0.05</v>
      </c>
      <c r="P53" s="58">
        <v>0.1</v>
      </c>
      <c r="Q53" s="58"/>
      <c r="R53" s="58"/>
      <c r="S53" s="33"/>
      <c r="T53" s="35"/>
      <c r="U53" s="33"/>
      <c r="V53" s="34"/>
      <c r="W53" s="34"/>
      <c r="X53" s="34"/>
      <c r="Y53" s="34"/>
      <c r="Z53" s="35"/>
    </row>
    <row r="54" spans="1:26" ht="12.75" thickTop="1" thickBot="1" x14ac:dyDescent="0.25">
      <c r="A54" s="114" t="s">
        <v>41</v>
      </c>
      <c r="B54" s="115"/>
      <c r="C54" s="115"/>
      <c r="D54" s="115"/>
      <c r="E54" s="116"/>
      <c r="F54" s="124"/>
      <c r="G54" s="122"/>
      <c r="H54" s="111"/>
      <c r="I54" s="110" t="s">
        <v>43</v>
      </c>
      <c r="J54" s="111"/>
      <c r="K54" s="97">
        <f>SUM(L45:L53)</f>
        <v>11026305.941642603</v>
      </c>
      <c r="L54" s="98"/>
      <c r="M54" s="103" t="s">
        <v>34</v>
      </c>
      <c r="N54" s="103"/>
      <c r="O54" s="64">
        <v>5.0000000000000001E-3</v>
      </c>
      <c r="P54" s="65">
        <v>0.01</v>
      </c>
      <c r="Q54" s="65"/>
      <c r="R54" s="65"/>
      <c r="S54" s="33"/>
      <c r="T54" s="35"/>
      <c r="U54" s="33"/>
      <c r="V54" s="34"/>
      <c r="W54" s="34"/>
      <c r="X54" s="34"/>
      <c r="Y54" s="34"/>
      <c r="Z54" s="35"/>
    </row>
    <row r="55" spans="1:26" ht="12.75" thickTop="1" thickBot="1" x14ac:dyDescent="0.25">
      <c r="A55" s="117"/>
      <c r="B55" s="118"/>
      <c r="C55" s="118"/>
      <c r="D55" s="118"/>
      <c r="E55" s="119"/>
      <c r="F55" s="112"/>
      <c r="G55" s="123"/>
      <c r="H55" s="113"/>
      <c r="I55" s="112"/>
      <c r="J55" s="113"/>
      <c r="K55" s="94"/>
      <c r="L55" s="96"/>
      <c r="M55" s="103" t="s">
        <v>35</v>
      </c>
      <c r="N55" s="103"/>
      <c r="O55" s="99">
        <v>2.0000000000000001E-4</v>
      </c>
      <c r="P55" s="100"/>
      <c r="Q55" s="99">
        <v>2.9999999999999997E-4</v>
      </c>
      <c r="R55" s="100"/>
      <c r="S55" s="41"/>
      <c r="T55" s="43"/>
      <c r="U55" s="41"/>
      <c r="V55" s="42"/>
      <c r="W55" s="42"/>
      <c r="X55" s="42"/>
      <c r="Y55" s="42"/>
      <c r="Z55" s="43"/>
    </row>
    <row r="56" spans="1:26" ht="12.75" thickTop="1" thickBot="1" x14ac:dyDescent="0.25">
      <c r="I56" s="107" t="s">
        <v>38</v>
      </c>
      <c r="J56" s="109"/>
      <c r="K56" s="89" t="s">
        <v>90</v>
      </c>
      <c r="L56" s="90"/>
    </row>
    <row r="57" spans="1:26" ht="12.75" thickTop="1" thickBot="1" x14ac:dyDescent="0.25">
      <c r="I57" s="107" t="s">
        <v>39</v>
      </c>
      <c r="J57" s="109"/>
      <c r="K57" s="89" t="s">
        <v>89</v>
      </c>
      <c r="L57" s="90"/>
    </row>
    <row r="58" spans="1:26" ht="24" thickTop="1" x14ac:dyDescent="0.2">
      <c r="A58" s="84">
        <v>2</v>
      </c>
    </row>
    <row r="60" spans="1:26" x14ac:dyDescent="0.2">
      <c r="R60" s="66"/>
    </row>
  </sheetData>
  <mergeCells count="66">
    <mergeCell ref="S10:S12"/>
    <mergeCell ref="I49:J49"/>
    <mergeCell ref="I48:J48"/>
    <mergeCell ref="G10:R10"/>
    <mergeCell ref="I52:J52"/>
    <mergeCell ref="F49:G49"/>
    <mergeCell ref="I46:J46"/>
    <mergeCell ref="I47:J47"/>
    <mergeCell ref="S46:T46"/>
    <mergeCell ref="T10:X10"/>
    <mergeCell ref="A44:H44"/>
    <mergeCell ref="F45:H45"/>
    <mergeCell ref="G11:J11"/>
    <mergeCell ref="T11:V11"/>
    <mergeCell ref="K11:N11"/>
    <mergeCell ref="A45:E46"/>
    <mergeCell ref="F46:G46"/>
    <mergeCell ref="F47:G48"/>
    <mergeCell ref="H47:H48"/>
    <mergeCell ref="I56:J56"/>
    <mergeCell ref="I53:J53"/>
    <mergeCell ref="I57:J57"/>
    <mergeCell ref="H52:H53"/>
    <mergeCell ref="A4:Y4"/>
    <mergeCell ref="A6:N6"/>
    <mergeCell ref="O6:Y6"/>
    <mergeCell ref="M55:N55"/>
    <mergeCell ref="O46:R46"/>
    <mergeCell ref="O47:R47"/>
    <mergeCell ref="O48:R48"/>
    <mergeCell ref="I44:J44"/>
    <mergeCell ref="I45:J45"/>
    <mergeCell ref="M54:N54"/>
    <mergeCell ref="O49:R49"/>
    <mergeCell ref="M49:N49"/>
    <mergeCell ref="M51:N51"/>
    <mergeCell ref="A47:D47"/>
    <mergeCell ref="A48:D48"/>
    <mergeCell ref="A49:D49"/>
    <mergeCell ref="A50:D50"/>
    <mergeCell ref="I54:J55"/>
    <mergeCell ref="I50:J50"/>
    <mergeCell ref="F50:G50"/>
    <mergeCell ref="A51:D51"/>
    <mergeCell ref="I51:J51"/>
    <mergeCell ref="F51:G51"/>
    <mergeCell ref="A54:E55"/>
    <mergeCell ref="F52:G53"/>
    <mergeCell ref="E52:E53"/>
    <mergeCell ref="A52:D53"/>
    <mergeCell ref="F54:H55"/>
    <mergeCell ref="K57:L57"/>
    <mergeCell ref="M44:R45"/>
    <mergeCell ref="K54:L55"/>
    <mergeCell ref="O55:P55"/>
    <mergeCell ref="Q55:R55"/>
    <mergeCell ref="O52:R52"/>
    <mergeCell ref="M52:N52"/>
    <mergeCell ref="M53:N53"/>
    <mergeCell ref="O50:R50"/>
    <mergeCell ref="O51:R51"/>
    <mergeCell ref="M50:N50"/>
    <mergeCell ref="M46:N46"/>
    <mergeCell ref="M47:N47"/>
    <mergeCell ref="M48:N48"/>
    <mergeCell ref="K56:L56"/>
  </mergeCells>
  <printOptions verticalCentered="1"/>
  <pageMargins left="0.25" right="3.937007874015748E-2" top="0.51181102362204722" bottom="0.39370078740157483" header="0" footer="0"/>
  <pageSetup paperSize="5" scale="55" orientation="landscape" horizontalDpi="4294967294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topLeftCell="A16" zoomScaleNormal="100" workbookViewId="0">
      <selection activeCell="F25" sqref="F25:I25"/>
    </sheetView>
  </sheetViews>
  <sheetFormatPr baseColWidth="10" defaultRowHeight="12.75" x14ac:dyDescent="0.2"/>
  <cols>
    <col min="1" max="1" width="31.28515625" style="1" customWidth="1"/>
    <col min="2" max="2" width="11.5703125" style="72" customWidth="1"/>
    <col min="3" max="3" width="21.42578125" style="1" customWidth="1"/>
    <col min="4" max="4" width="16.140625" style="72" bestFit="1" customWidth="1"/>
    <col min="5" max="5" width="11.42578125" style="1"/>
    <col min="6" max="6" width="30.5703125" style="1" bestFit="1" customWidth="1"/>
    <col min="7" max="7" width="11.5703125" style="72" bestFit="1" customWidth="1"/>
    <col min="8" max="8" width="21.7109375" style="1" bestFit="1" customWidth="1"/>
    <col min="9" max="9" width="14" style="72" customWidth="1"/>
    <col min="10" max="16384" width="11.42578125" style="1"/>
  </cols>
  <sheetData>
    <row r="1" spans="1:9" x14ac:dyDescent="0.2">
      <c r="A1" s="181"/>
      <c r="B1" s="182"/>
      <c r="C1" s="182"/>
      <c r="D1" s="183"/>
      <c r="F1" s="181"/>
      <c r="G1" s="182"/>
      <c r="H1" s="182"/>
      <c r="I1" s="183"/>
    </row>
    <row r="2" spans="1:9" ht="18" x14ac:dyDescent="0.25">
      <c r="A2" s="184" t="s">
        <v>152</v>
      </c>
      <c r="B2" s="185"/>
      <c r="C2" s="185"/>
      <c r="D2" s="186"/>
      <c r="F2" s="184" t="s">
        <v>152</v>
      </c>
      <c r="G2" s="185"/>
      <c r="H2" s="185"/>
      <c r="I2" s="186"/>
    </row>
    <row r="3" spans="1:9" ht="18" x14ac:dyDescent="0.25">
      <c r="A3" s="187" t="s">
        <v>153</v>
      </c>
      <c r="B3" s="188"/>
      <c r="C3" s="188"/>
      <c r="D3" s="189"/>
      <c r="F3" s="187" t="s">
        <v>153</v>
      </c>
      <c r="G3" s="188"/>
      <c r="H3" s="188"/>
      <c r="I3" s="189"/>
    </row>
    <row r="4" spans="1:9" ht="15" x14ac:dyDescent="0.2">
      <c r="A4" s="172" t="s">
        <v>165</v>
      </c>
      <c r="B4" s="173"/>
      <c r="C4" s="173"/>
      <c r="D4" s="174"/>
      <c r="F4" s="172" t="s">
        <v>165</v>
      </c>
      <c r="G4" s="173"/>
      <c r="H4" s="173"/>
      <c r="I4" s="174"/>
    </row>
    <row r="5" spans="1:9" ht="13.5" thickBot="1" x14ac:dyDescent="0.25">
      <c r="A5" s="175"/>
      <c r="B5" s="176"/>
      <c r="C5" s="176"/>
      <c r="D5" s="177"/>
      <c r="F5" s="175"/>
      <c r="G5" s="176"/>
      <c r="H5" s="176"/>
      <c r="I5" s="177"/>
    </row>
    <row r="6" spans="1:9" ht="15.75" thickBot="1" x14ac:dyDescent="0.25">
      <c r="A6" s="13" t="s">
        <v>154</v>
      </c>
      <c r="B6" s="178" t="s">
        <v>122</v>
      </c>
      <c r="C6" s="179"/>
      <c r="D6" s="180"/>
      <c r="F6" s="13" t="s">
        <v>154</v>
      </c>
      <c r="G6" s="178" t="s">
        <v>123</v>
      </c>
      <c r="H6" s="179"/>
      <c r="I6" s="180"/>
    </row>
    <row r="7" spans="1:9" ht="15.75" thickBot="1" x14ac:dyDescent="0.25">
      <c r="A7" s="14" t="s">
        <v>120</v>
      </c>
      <c r="B7" s="166" t="str">
        <f>IF(ISBLANK(B6),"",IF(ISERROR(VLOOKUP(B6,BDEMPLEADOS,2,FALSE)),"NOEXISTE",VLOOKUP(B6,BDEMPLEADOS,2,FALSE)))</f>
        <v>Ospina Borja Pedro Nel</v>
      </c>
      <c r="C7" s="167"/>
      <c r="D7" s="168"/>
      <c r="F7" s="14" t="s">
        <v>120</v>
      </c>
      <c r="G7" s="166" t="str">
        <f>IF(ISBLANK(G6),"",IF(ISERROR(VLOOKUP(G6,BDEMPLEADOS,2,FALSE)),"NOEXISTE",VLOOKUP(G6,BDEMPLEADOS,2,FALSE)))</f>
        <v>Andrés Felipe Ramírez</v>
      </c>
      <c r="H7" s="167"/>
      <c r="I7" s="168"/>
    </row>
    <row r="8" spans="1:9" ht="15.75" thickBot="1" x14ac:dyDescent="0.25">
      <c r="A8" s="169"/>
      <c r="B8" s="170"/>
      <c r="C8" s="170"/>
      <c r="D8" s="171"/>
      <c r="F8" s="169"/>
      <c r="G8" s="170"/>
      <c r="H8" s="170"/>
      <c r="I8" s="171"/>
    </row>
    <row r="9" spans="1:9" ht="15.75" thickBot="1" x14ac:dyDescent="0.25">
      <c r="A9" s="15" t="s">
        <v>107</v>
      </c>
      <c r="B9" s="16">
        <f>IF(ISBLANK(B6),"",IF(ISERROR(VLOOKUP(B6,BDEMPLEADOS,4,FALSE)),"",VLOOKUP(B6,BDEMPLEADOS,4,FALSE)))</f>
        <v>700000</v>
      </c>
      <c r="C9" s="17" t="s">
        <v>113</v>
      </c>
      <c r="D9" s="67">
        <f>IF(ISBLANK(B6),"",IF(ISERROR(VLOOKUP(B6,NOMINA,20,FALSE)),"",VLOOKUP(B6,NOMINA,20,FALSE)))</f>
        <v>29200</v>
      </c>
      <c r="F9" s="15" t="s">
        <v>107</v>
      </c>
      <c r="G9" s="16">
        <f>IF(ISBLANK(G6),"",IF(ISERROR(VLOOKUP(G6,BDEMPLEADOS,4,FALSE)),"",VLOOKUP(G6,BDEMPLEADOS,4,FALSE)))</f>
        <v>620000</v>
      </c>
      <c r="H9" s="17" t="s">
        <v>113</v>
      </c>
      <c r="I9" s="67">
        <f>IF(ISBLANK(G6),"",IF(ISERROR(VLOOKUP(G6,NOMINA,20,FALSE)),"",VLOOKUP(G6,NOMINA,20,FALSE)))</f>
        <v>27800</v>
      </c>
    </row>
    <row r="10" spans="1:9" ht="15.75" thickBot="1" x14ac:dyDescent="0.25">
      <c r="A10" s="18" t="s">
        <v>108</v>
      </c>
      <c r="B10" s="16">
        <f>IF(ISBLANK(B6),"",IF(ISERROR(VLOOKUP(B6,NOMINA,15,FALSE)),"",VLOOKUP(B6,NOMINA,15,FALSE)))</f>
        <v>0</v>
      </c>
      <c r="C10" s="19" t="s">
        <v>114</v>
      </c>
      <c r="D10" s="67">
        <f>IF(ISBLANK(B6),"",IF(ISERROR(VLOOKUP(B6,NOMINA,21,FALSE)),"",VLOOKUP(B6,NOMINA,21,FALSE)))</f>
        <v>29200</v>
      </c>
      <c r="F10" s="18" t="s">
        <v>108</v>
      </c>
      <c r="G10" s="16">
        <f>IF(ISBLANK(G6),"",IF(ISERROR(VLOOKUP(G6,NOMINA,15,FALSE)),"",VLOOKUP(G6,NOMINA,15,FALSE)))</f>
        <v>0</v>
      </c>
      <c r="H10" s="19" t="s">
        <v>114</v>
      </c>
      <c r="I10" s="67">
        <f>IF(ISBLANK(G6),"",IF(ISERROR(VLOOKUP(G6,NOMINA,21,FALSE)),"",VLOOKUP(G6,NOMINA,21,FALSE)))</f>
        <v>27800</v>
      </c>
    </row>
    <row r="11" spans="1:9" ht="15.75" thickBot="1" x14ac:dyDescent="0.25">
      <c r="A11" s="20" t="s">
        <v>109</v>
      </c>
      <c r="B11" s="16">
        <f>IF(ISBLANK(B6),"",IF(ISERROR(VLOOKUP(B6,NOMINA,16,FALSE)),"",VLOOKUP(B6,NOMINA,16,FALSE)))</f>
        <v>72000</v>
      </c>
      <c r="C11" s="19" t="s">
        <v>115</v>
      </c>
      <c r="D11" s="67" t="str">
        <f>IF(ISBLANK(B6),"",IF(ISERROR(VLOOKUP(B6,NOMINA,22,FALSE)),"",VLOOKUP(B6,NOMINA,22,FALSE)))</f>
        <v/>
      </c>
      <c r="F11" s="20" t="s">
        <v>109</v>
      </c>
      <c r="G11" s="16">
        <f>IF(ISBLANK(G6),"",IF(ISERROR(VLOOKUP(G6,NOMINA,16,FALSE)),"",VLOOKUP(G6,NOMINA,16,FALSE)))</f>
        <v>72000</v>
      </c>
      <c r="H11" s="19" t="s">
        <v>115</v>
      </c>
      <c r="I11" s="67" t="str">
        <f>IF(ISBLANK(G6),"",IF(ISERROR(VLOOKUP(G6,NOMINA,22,FALSE)),"",VLOOKUP(G6,NOMINA,22,FALSE)))</f>
        <v/>
      </c>
    </row>
    <row r="12" spans="1:9" ht="15.75" thickBot="1" x14ac:dyDescent="0.25">
      <c r="A12" s="18" t="s">
        <v>110</v>
      </c>
      <c r="B12" s="16">
        <f>IF(ISBLANK(B6),"",IF(ISERROR(VLOOKUP(B6,NOMINA,17,FALSE)),"",VLOOKUP(B6,NOMINA,17,FALSE)))</f>
        <v>0</v>
      </c>
      <c r="C12" s="19" t="s">
        <v>116</v>
      </c>
      <c r="D12" s="67">
        <f>IF(ISBLANK(B6),"",IF(ISERROR(VLOOKUP(B6,NOMINA,23,FALSE)),"",VLOOKUP(B6,NOMINA,23,FALSE)))</f>
        <v>73000</v>
      </c>
      <c r="F12" s="18" t="s">
        <v>110</v>
      </c>
      <c r="G12" s="16">
        <f>IF(ISBLANK(G6),"",IF(ISERROR(VLOOKUP(G6,NOMINA,17,FALSE)),"",VLOOKUP(G6,NOMINA,17,FALSE)))</f>
        <v>44999.999999999993</v>
      </c>
      <c r="H12" s="19" t="s">
        <v>116</v>
      </c>
      <c r="I12" s="67">
        <f>IF(ISBLANK(G6),"",IF(ISERROR(VLOOKUP(G6,NOMINA,23,FALSE)),"",VLOOKUP(G6,NOMINA,23,FALSE)))</f>
        <v>69500</v>
      </c>
    </row>
    <row r="13" spans="1:9" ht="15.75" thickBot="1" x14ac:dyDescent="0.25">
      <c r="A13" s="18" t="s">
        <v>111</v>
      </c>
      <c r="B13" s="16">
        <f>IF(ISBLANK(B6),"",IF(ISERROR(VLOOKUP(B6,NOMINA,18,FALSE)),"",VLOOKUP(B6,NOMINA,18,FALSE)))</f>
        <v>30000</v>
      </c>
      <c r="C13" s="21" t="s">
        <v>117</v>
      </c>
      <c r="D13" s="73">
        <f>IF(ISBLANK(B6),"",IF(ISERROR(VLOOKUP(B6,NOMINA,24,FALSE)),"",VLOOKUP(B6,NOMINA,24,FALSE)))</f>
        <v>7000</v>
      </c>
      <c r="F13" s="18" t="s">
        <v>111</v>
      </c>
      <c r="G13" s="16">
        <f>IF(ISBLANK(G6),"",IF(ISERROR(VLOOKUP(G6,NOMINA,18,FALSE)),"",VLOOKUP(G6,NOMINA,18,FALSE)))</f>
        <v>30000</v>
      </c>
      <c r="H13" s="21" t="s">
        <v>117</v>
      </c>
      <c r="I13" s="73">
        <f>IF(ISBLANK(G6),"",IF(ISERROR(VLOOKUP(G6,NOMINA,24,FALSE)),"",VLOOKUP(G6,NOMINA,24,FALSE)))</f>
        <v>3100</v>
      </c>
    </row>
    <row r="14" spans="1:9" ht="13.5" thickBot="1" x14ac:dyDescent="0.25">
      <c r="A14" s="22"/>
      <c r="B14" s="68"/>
      <c r="C14" s="23"/>
      <c r="D14" s="74"/>
      <c r="F14" s="22"/>
      <c r="G14" s="68"/>
      <c r="H14" s="23"/>
      <c r="I14" s="74"/>
    </row>
    <row r="15" spans="1:9" ht="15.75" thickBot="1" x14ac:dyDescent="0.25">
      <c r="A15" s="24" t="s">
        <v>112</v>
      </c>
      <c r="B15" s="16">
        <f>IF(ISBLANK(B6),"",IF(ISERROR(VLOOKUP(B6,NOMINA,19,FALSE)),"",VLOOKUP(B6,NOMINA,19,FALSE)))</f>
        <v>802000</v>
      </c>
      <c r="C15" s="25" t="s">
        <v>118</v>
      </c>
      <c r="D15" s="67">
        <f>IF(ISBLANK(B6),"",IF(ISERROR(VLOOKUP(B6,NOMINA,25,FALSE)),"",VLOOKUP(B6,NOMINA,25,FALSE)))</f>
        <v>138400</v>
      </c>
      <c r="F15" s="24" t="s">
        <v>112</v>
      </c>
      <c r="G15" s="16">
        <f>IF(ISBLANK(G6),"",IF(ISERROR(VLOOKUP(G6,NOMINA,19,FALSE)),"",VLOOKUP(G6,NOMINA,19,FALSE)))</f>
        <v>767000</v>
      </c>
      <c r="H15" s="25" t="s">
        <v>118</v>
      </c>
      <c r="I15" s="67">
        <f>IF(ISBLANK(G6),"",IF(ISERROR(VLOOKUP(G6,NOMINA,25,FALSE)),"",VLOOKUP(G6,NOMINA,25,FALSE)))</f>
        <v>128200</v>
      </c>
    </row>
    <row r="16" spans="1:9" x14ac:dyDescent="0.2">
      <c r="A16" s="22"/>
      <c r="B16" s="69"/>
      <c r="C16" s="23"/>
      <c r="D16" s="74"/>
      <c r="F16" s="22"/>
      <c r="G16" s="69"/>
      <c r="H16" s="23"/>
      <c r="I16" s="74"/>
    </row>
    <row r="17" spans="1:9" ht="13.5" thickBot="1" x14ac:dyDescent="0.25">
      <c r="A17" s="26"/>
      <c r="B17" s="70"/>
      <c r="C17" s="27"/>
      <c r="D17" s="75"/>
      <c r="F17" s="26"/>
      <c r="G17" s="70"/>
      <c r="H17" s="27"/>
      <c r="I17" s="75"/>
    </row>
    <row r="18" spans="1:9" ht="18.75" thickBot="1" x14ac:dyDescent="0.3">
      <c r="B18" s="71"/>
      <c r="C18" s="28" t="s">
        <v>119</v>
      </c>
      <c r="D18" s="76">
        <f>IF(ISBLANK(B6),"",IF(ISERROR(VLOOKUP(B6,NOMINA,26,FALSE)),"",VLOOKUP(B6,NOMINA,26,FALSE)))</f>
        <v>663600</v>
      </c>
      <c r="G18" s="71"/>
      <c r="H18" s="28" t="s">
        <v>119</v>
      </c>
      <c r="I18" s="76">
        <f>IF(ISBLANK(G6),"",IF(ISERROR(VLOOKUP(G6,NOMINA,26,FALSE)),"",VLOOKUP(G6,NOMINA,26,FALSE)))</f>
        <v>638800</v>
      </c>
    </row>
    <row r="19" spans="1:9" x14ac:dyDescent="0.2">
      <c r="B19" s="71"/>
    </row>
    <row r="20" spans="1:9" ht="13.5" thickBot="1" x14ac:dyDescent="0.25">
      <c r="B20" s="71"/>
    </row>
    <row r="21" spans="1:9" x14ac:dyDescent="0.2">
      <c r="A21" s="181"/>
      <c r="B21" s="182"/>
      <c r="C21" s="182"/>
      <c r="D21" s="183"/>
      <c r="F21" s="181"/>
      <c r="G21" s="182"/>
      <c r="H21" s="182"/>
      <c r="I21" s="183"/>
    </row>
    <row r="22" spans="1:9" ht="18" x14ac:dyDescent="0.25">
      <c r="A22" s="184" t="s">
        <v>152</v>
      </c>
      <c r="B22" s="185"/>
      <c r="C22" s="185"/>
      <c r="D22" s="186"/>
      <c r="F22" s="184" t="s">
        <v>152</v>
      </c>
      <c r="G22" s="185"/>
      <c r="H22" s="185"/>
      <c r="I22" s="186"/>
    </row>
    <row r="23" spans="1:9" ht="18" x14ac:dyDescent="0.25">
      <c r="A23" s="187" t="s">
        <v>153</v>
      </c>
      <c r="B23" s="188"/>
      <c r="C23" s="188"/>
      <c r="D23" s="189"/>
      <c r="F23" s="187" t="s">
        <v>153</v>
      </c>
      <c r="G23" s="188"/>
      <c r="H23" s="188"/>
      <c r="I23" s="189"/>
    </row>
    <row r="24" spans="1:9" ht="15" x14ac:dyDescent="0.2">
      <c r="A24" s="172" t="s">
        <v>165</v>
      </c>
      <c r="B24" s="173"/>
      <c r="C24" s="173"/>
      <c r="D24" s="174"/>
      <c r="F24" s="172" t="s">
        <v>165</v>
      </c>
      <c r="G24" s="173"/>
      <c r="H24" s="173"/>
      <c r="I24" s="174"/>
    </row>
    <row r="25" spans="1:9" ht="13.5" thickBot="1" x14ac:dyDescent="0.25">
      <c r="A25" s="175"/>
      <c r="B25" s="176"/>
      <c r="C25" s="176"/>
      <c r="D25" s="177"/>
      <c r="F25" s="175"/>
      <c r="G25" s="176"/>
      <c r="H25" s="176"/>
      <c r="I25" s="177"/>
    </row>
    <row r="26" spans="1:9" ht="15.75" thickBot="1" x14ac:dyDescent="0.25">
      <c r="A26" s="13" t="s">
        <v>154</v>
      </c>
      <c r="B26" s="178" t="s">
        <v>124</v>
      </c>
      <c r="C26" s="179"/>
      <c r="D26" s="180"/>
      <c r="F26" s="13" t="s">
        <v>154</v>
      </c>
      <c r="G26" s="178" t="s">
        <v>125</v>
      </c>
      <c r="H26" s="179"/>
      <c r="I26" s="180"/>
    </row>
    <row r="27" spans="1:9" ht="15.75" thickBot="1" x14ac:dyDescent="0.25">
      <c r="A27" s="14" t="s">
        <v>120</v>
      </c>
      <c r="B27" s="166" t="str">
        <f>IF(ISBLANK(B26),"",IF(ISERROR(VLOOKUP(B26,BDEMPLEADOS,2,FALSE)),"NOEXISTE",VLOOKUP(B26,BDEMPLEADOS,2,FALSE)))</f>
        <v>Ángela María Hernández</v>
      </c>
      <c r="C27" s="167"/>
      <c r="D27" s="168"/>
      <c r="F27" s="14" t="s">
        <v>120</v>
      </c>
      <c r="G27" s="166" t="str">
        <f>IF(ISBLANK(G26),"",IF(ISERROR(VLOOKUP(G26,BDEMPLEADOS,2,FALSE)),"NOEXISTE",VLOOKUP(G26,BDEMPLEADOS,2,FALSE)))</f>
        <v>Camilo Ceballos</v>
      </c>
      <c r="H27" s="167"/>
      <c r="I27" s="168"/>
    </row>
    <row r="28" spans="1:9" ht="15.75" thickBot="1" x14ac:dyDescent="0.25">
      <c r="A28" s="169"/>
      <c r="B28" s="170"/>
      <c r="C28" s="170"/>
      <c r="D28" s="171"/>
      <c r="F28" s="169"/>
      <c r="G28" s="170"/>
      <c r="H28" s="170"/>
      <c r="I28" s="171"/>
    </row>
    <row r="29" spans="1:9" ht="15.75" thickBot="1" x14ac:dyDescent="0.25">
      <c r="A29" s="15" t="s">
        <v>107</v>
      </c>
      <c r="B29" s="16">
        <f>IF(ISBLANK(B26),"",IF(ISERROR(VLOOKUP(B26,BDEMPLEADOS,4,FALSE)),"",VLOOKUP(B26,BDEMPLEADOS,4,FALSE)))</f>
        <v>900000</v>
      </c>
      <c r="C29" s="17" t="s">
        <v>113</v>
      </c>
      <c r="D29" s="67">
        <f>IF(ISBLANK(B26),"",IF(ISERROR(VLOOKUP(B26,NOMINA,20,FALSE)),"",VLOOKUP(B26,NOMINA,20,FALSE)))</f>
        <v>37200</v>
      </c>
      <c r="F29" s="15" t="s">
        <v>107</v>
      </c>
      <c r="G29" s="16">
        <f>IF(ISBLANK(G26),"",IF(ISERROR(VLOOKUP(G26,BDEMPLEADOS,4,FALSE)),"",VLOOKUP(G26,BDEMPLEADOS,4,FALSE)))</f>
        <v>616000</v>
      </c>
      <c r="H29" s="17" t="s">
        <v>113</v>
      </c>
      <c r="I29" s="67">
        <f>IF(ISBLANK(G26),"",IF(ISERROR(VLOOKUP(G26,NOMINA,20,FALSE)),"",VLOOKUP(G26,NOMINA,20,FALSE)))</f>
        <v>27867.666666666664</v>
      </c>
    </row>
    <row r="30" spans="1:9" ht="15.75" thickBot="1" x14ac:dyDescent="0.25">
      <c r="A30" s="18" t="s">
        <v>108</v>
      </c>
      <c r="B30" s="16">
        <f>IF(ISBLANK(B26),"",IF(ISERROR(VLOOKUP(B26,NOMINA,15,FALSE)),"",VLOOKUP(B26,NOMINA,15,FALSE)))</f>
        <v>0</v>
      </c>
      <c r="C30" s="19" t="s">
        <v>114</v>
      </c>
      <c r="D30" s="67">
        <f>IF(ISBLANK(B26),"",IF(ISERROR(VLOOKUP(B26,NOMINA,21,FALSE)),"",VLOOKUP(B26,NOMINA,21,FALSE)))</f>
        <v>37200</v>
      </c>
      <c r="F30" s="18" t="s">
        <v>108</v>
      </c>
      <c r="G30" s="16">
        <f>IF(ISBLANK(G26),"",IF(ISERROR(VLOOKUP(G26,NOMINA,15,FALSE)),"",VLOOKUP(G26,NOMINA,15,FALSE)))</f>
        <v>50691.666666666657</v>
      </c>
      <c r="H30" s="19" t="s">
        <v>114</v>
      </c>
      <c r="I30" s="67">
        <f>IF(ISBLANK(G26),"",IF(ISERROR(VLOOKUP(G26,NOMINA,21,FALSE)),"",VLOOKUP(G26,NOMINA,21,FALSE)))</f>
        <v>27867.666666666664</v>
      </c>
    </row>
    <row r="31" spans="1:9" ht="15.75" thickBot="1" x14ac:dyDescent="0.25">
      <c r="A31" s="20" t="s">
        <v>109</v>
      </c>
      <c r="B31" s="16">
        <f>IF(ISBLANK(B26),"",IF(ISERROR(VLOOKUP(B26,NOMINA,16,FALSE)),"",VLOOKUP(B26,NOMINA,16,FALSE)))</f>
        <v>72000</v>
      </c>
      <c r="C31" s="19" t="s">
        <v>115</v>
      </c>
      <c r="D31" s="67" t="str">
        <f>IF(ISBLANK(B26),"",IF(ISERROR(VLOOKUP(B26,NOMINA,22,FALSE)),"",VLOOKUP(B26,NOMINA,22,FALSE)))</f>
        <v/>
      </c>
      <c r="F31" s="20" t="s">
        <v>109</v>
      </c>
      <c r="G31" s="16">
        <f>IF(ISBLANK(G26),"",IF(ISERROR(VLOOKUP(G26,NOMINA,16,FALSE)),"",VLOOKUP(G26,NOMINA,16,FALSE)))</f>
        <v>72000</v>
      </c>
      <c r="H31" s="19" t="s">
        <v>115</v>
      </c>
      <c r="I31" s="67" t="str">
        <f>IF(ISBLANK(G26),"",IF(ISERROR(VLOOKUP(G26,NOMINA,22,FALSE)),"",VLOOKUP(G26,NOMINA,22,FALSE)))</f>
        <v/>
      </c>
    </row>
    <row r="32" spans="1:9" ht="15.75" thickBot="1" x14ac:dyDescent="0.25">
      <c r="A32" s="18" t="s">
        <v>110</v>
      </c>
      <c r="B32" s="16">
        <f>IF(ISBLANK(B26),"",IF(ISERROR(VLOOKUP(B26,NOMINA,17,FALSE)),"",VLOOKUP(B26,NOMINA,17,FALSE)))</f>
        <v>0</v>
      </c>
      <c r="C32" s="19" t="s">
        <v>116</v>
      </c>
      <c r="D32" s="67">
        <f>IF(ISBLANK(B26),"",IF(ISERROR(VLOOKUP(B26,NOMINA,23,FALSE)),"",VLOOKUP(B26,NOMINA,23,FALSE)))</f>
        <v>93000</v>
      </c>
      <c r="F32" s="18" t="s">
        <v>110</v>
      </c>
      <c r="G32" s="16">
        <f>IF(ISBLANK(G26),"",IF(ISERROR(VLOOKUP(G26,NOMINA,17,FALSE)),"",VLOOKUP(G26,NOMINA,17,FALSE)))</f>
        <v>0</v>
      </c>
      <c r="H32" s="19" t="s">
        <v>116</v>
      </c>
      <c r="I32" s="67">
        <f>IF(ISBLANK(G26),"",IF(ISERROR(VLOOKUP(G26,NOMINA,23,FALSE)),"",VLOOKUP(G26,NOMINA,23,FALSE)))</f>
        <v>69669.166666666672</v>
      </c>
    </row>
    <row r="33" spans="1:9" ht="15.75" thickBot="1" x14ac:dyDescent="0.25">
      <c r="A33" s="18" t="s">
        <v>111</v>
      </c>
      <c r="B33" s="16">
        <f>IF(ISBLANK(B26),"",IF(ISERROR(VLOOKUP(B26,NOMINA,18,FALSE)),"",VLOOKUP(B26,NOMINA,18,FALSE)))</f>
        <v>30000</v>
      </c>
      <c r="C33" s="21" t="s">
        <v>117</v>
      </c>
      <c r="D33" s="73">
        <f>IF(ISBLANK(B26),"",IF(ISERROR(VLOOKUP(B26,NOMINA,24,FALSE)),"",VLOOKUP(B26,NOMINA,24,FALSE)))</f>
        <v>9000</v>
      </c>
      <c r="F33" s="18" t="s">
        <v>111</v>
      </c>
      <c r="G33" s="16">
        <f>IF(ISBLANK(G26),"",IF(ISERROR(VLOOKUP(G26,NOMINA,18,FALSE)),"",VLOOKUP(G26,NOMINA,18,FALSE)))</f>
        <v>30000</v>
      </c>
      <c r="H33" s="21" t="s">
        <v>117</v>
      </c>
      <c r="I33" s="73">
        <f>IF(ISBLANK(G26),"",IF(ISERROR(VLOOKUP(G26,NOMINA,24,FALSE)),"",VLOOKUP(G26,NOMINA,24,FALSE)))</f>
        <v>3080</v>
      </c>
    </row>
    <row r="34" spans="1:9" ht="13.5" thickBot="1" x14ac:dyDescent="0.25">
      <c r="A34" s="22"/>
      <c r="B34" s="68"/>
      <c r="C34" s="23"/>
      <c r="D34" s="74"/>
      <c r="F34" s="22"/>
      <c r="G34" s="68"/>
      <c r="H34" s="23"/>
      <c r="I34" s="74"/>
    </row>
    <row r="35" spans="1:9" ht="15.75" thickBot="1" x14ac:dyDescent="0.25">
      <c r="A35" s="24" t="s">
        <v>112</v>
      </c>
      <c r="B35" s="16">
        <f>IF(ISBLANK(B26),"",IF(ISERROR(VLOOKUP(B26,NOMINA,19,FALSE)),"",VLOOKUP(B26,NOMINA,19,FALSE)))</f>
        <v>1002000</v>
      </c>
      <c r="C35" s="25" t="s">
        <v>118</v>
      </c>
      <c r="D35" s="67">
        <f>IF(ISBLANK(B26),"",IF(ISERROR(VLOOKUP(B26,NOMINA,25,FALSE)),"",VLOOKUP(B26,NOMINA,25,FALSE)))</f>
        <v>176400</v>
      </c>
      <c r="F35" s="24" t="s">
        <v>112</v>
      </c>
      <c r="G35" s="16">
        <f>IF(ISBLANK(G26),"",IF(ISERROR(VLOOKUP(G26,NOMINA,19,FALSE)),"",VLOOKUP(G26,NOMINA,19,FALSE)))</f>
        <v>768691.66666666663</v>
      </c>
      <c r="H35" s="25" t="s">
        <v>118</v>
      </c>
      <c r="I35" s="67">
        <f>IF(ISBLANK(G26),"",IF(ISERROR(VLOOKUP(G26,NOMINA,25,FALSE)),"",VLOOKUP(G26,NOMINA,25,FALSE)))</f>
        <v>128484.5</v>
      </c>
    </row>
    <row r="36" spans="1:9" x14ac:dyDescent="0.2">
      <c r="A36" s="22"/>
      <c r="B36" s="69"/>
      <c r="C36" s="23"/>
      <c r="D36" s="74"/>
      <c r="F36" s="22"/>
      <c r="G36" s="69"/>
      <c r="H36" s="23"/>
      <c r="I36" s="74"/>
    </row>
    <row r="37" spans="1:9" ht="13.5" thickBot="1" x14ac:dyDescent="0.25">
      <c r="A37" s="26"/>
      <c r="B37" s="70"/>
      <c r="C37" s="27"/>
      <c r="D37" s="75"/>
      <c r="F37" s="26"/>
      <c r="G37" s="70"/>
      <c r="H37" s="27"/>
      <c r="I37" s="75"/>
    </row>
    <row r="38" spans="1:9" ht="18.75" thickBot="1" x14ac:dyDescent="0.3">
      <c r="B38" s="71"/>
      <c r="C38" s="28" t="s">
        <v>119</v>
      </c>
      <c r="D38" s="76">
        <f>IF(ISBLANK(B26),"",IF(ISERROR(VLOOKUP(B26,NOMINA,26,FALSE)),"",VLOOKUP(B26,NOMINA,26,FALSE)))</f>
        <v>825600</v>
      </c>
      <c r="G38" s="71"/>
      <c r="H38" s="28" t="s">
        <v>119</v>
      </c>
      <c r="I38" s="76">
        <f>IF(ISBLANK(G26),"",IF(ISERROR(VLOOKUP(G26,NOMINA,26,FALSE)),"",VLOOKUP(G26,NOMINA,26,FALSE)))</f>
        <v>640207.16666666663</v>
      </c>
    </row>
    <row r="40" spans="1:9" ht="13.5" thickBot="1" x14ac:dyDescent="0.25"/>
    <row r="41" spans="1:9" x14ac:dyDescent="0.2">
      <c r="A41" s="181"/>
      <c r="B41" s="182"/>
      <c r="C41" s="182"/>
      <c r="D41" s="183"/>
      <c r="F41" s="181"/>
      <c r="G41" s="182"/>
      <c r="H41" s="182"/>
      <c r="I41" s="183"/>
    </row>
    <row r="42" spans="1:9" ht="18" x14ac:dyDescent="0.25">
      <c r="A42" s="184" t="s">
        <v>152</v>
      </c>
      <c r="B42" s="185"/>
      <c r="C42" s="185"/>
      <c r="D42" s="186"/>
      <c r="F42" s="184" t="s">
        <v>152</v>
      </c>
      <c r="G42" s="185"/>
      <c r="H42" s="185"/>
      <c r="I42" s="186"/>
    </row>
    <row r="43" spans="1:9" ht="18" x14ac:dyDescent="0.25">
      <c r="A43" s="187" t="s">
        <v>153</v>
      </c>
      <c r="B43" s="188"/>
      <c r="C43" s="188"/>
      <c r="D43" s="189"/>
      <c r="F43" s="187" t="s">
        <v>153</v>
      </c>
      <c r="G43" s="188"/>
      <c r="H43" s="188"/>
      <c r="I43" s="189"/>
    </row>
    <row r="44" spans="1:9" ht="15" x14ac:dyDescent="0.2">
      <c r="A44" s="172" t="s">
        <v>165</v>
      </c>
      <c r="B44" s="173"/>
      <c r="C44" s="173"/>
      <c r="D44" s="174"/>
      <c r="F44" s="172" t="s">
        <v>165</v>
      </c>
      <c r="G44" s="173"/>
      <c r="H44" s="173"/>
      <c r="I44" s="174"/>
    </row>
    <row r="45" spans="1:9" ht="13.5" thickBot="1" x14ac:dyDescent="0.25">
      <c r="A45" s="175"/>
      <c r="B45" s="176"/>
      <c r="C45" s="176"/>
      <c r="D45" s="177"/>
      <c r="F45" s="175"/>
      <c r="G45" s="176"/>
      <c r="H45" s="176"/>
      <c r="I45" s="177"/>
    </row>
    <row r="46" spans="1:9" ht="15.75" thickBot="1" x14ac:dyDescent="0.25">
      <c r="A46" s="13" t="s">
        <v>154</v>
      </c>
      <c r="B46" s="178" t="s">
        <v>126</v>
      </c>
      <c r="C46" s="179"/>
      <c r="D46" s="180"/>
      <c r="F46" s="13" t="s">
        <v>154</v>
      </c>
      <c r="G46" s="178" t="s">
        <v>127</v>
      </c>
      <c r="H46" s="179"/>
      <c r="I46" s="180"/>
    </row>
    <row r="47" spans="1:9" ht="15.75" thickBot="1" x14ac:dyDescent="0.25">
      <c r="A47" s="14" t="s">
        <v>120</v>
      </c>
      <c r="B47" s="166" t="str">
        <f>IF(ISBLANK(B46),"",IF(ISERROR(VLOOKUP(B46,BDEMPLEADOS,2,FALSE)),"NOEXISTE",VLOOKUP(B46,BDEMPLEADOS,2,FALSE)))</f>
        <v>Carlos Andrés Giraldo</v>
      </c>
      <c r="C47" s="167"/>
      <c r="D47" s="168"/>
      <c r="F47" s="14" t="s">
        <v>120</v>
      </c>
      <c r="G47" s="166" t="str">
        <f>IF(ISBLANK(G46),"",IF(ISERROR(VLOOKUP(G46,BDEMPLEADOS,2,FALSE)),"NOEXISTE",VLOOKUP(G46,BDEMPLEADOS,2,FALSE)))</f>
        <v>Carlos Mario Quiroz</v>
      </c>
      <c r="H47" s="167"/>
      <c r="I47" s="168"/>
    </row>
    <row r="48" spans="1:9" ht="15.75" thickBot="1" x14ac:dyDescent="0.25">
      <c r="A48" s="169"/>
      <c r="B48" s="170"/>
      <c r="C48" s="170"/>
      <c r="D48" s="171"/>
      <c r="F48" s="169"/>
      <c r="G48" s="170"/>
      <c r="H48" s="170"/>
      <c r="I48" s="171"/>
    </row>
    <row r="49" spans="1:9" ht="15.75" thickBot="1" x14ac:dyDescent="0.25">
      <c r="A49" s="15" t="s">
        <v>107</v>
      </c>
      <c r="B49" s="16">
        <f>IF(ISBLANK(B46),"",IF(ISERROR(VLOOKUP(B46,BDEMPLEADOS,4,FALSE)),"",VLOOKUP(B46,BDEMPLEADOS,4,FALSE)))</f>
        <v>750000</v>
      </c>
      <c r="C49" s="17" t="s">
        <v>113</v>
      </c>
      <c r="D49" s="67">
        <f>IF(ISBLANK(B46),"",IF(ISERROR(VLOOKUP(B46,NOMINA,20,FALSE)),"",VLOOKUP(B46,NOMINA,20,FALSE)))</f>
        <v>31200</v>
      </c>
      <c r="F49" s="15" t="s">
        <v>107</v>
      </c>
      <c r="G49" s="16">
        <f>IF(ISBLANK(G46),"",IF(ISERROR(VLOOKUP(G46,BDEMPLEADOS,4,FALSE)),"",VLOOKUP(G46,BDEMPLEADOS,4,FALSE)))</f>
        <v>620000</v>
      </c>
      <c r="H49" s="17" t="s">
        <v>113</v>
      </c>
      <c r="I49" s="67">
        <f>IF(ISBLANK(G46),"",IF(ISERROR(VLOOKUP(G46,NOMINA,20,FALSE)),"",VLOOKUP(G46,NOMINA,20,FALSE)))</f>
        <v>27800</v>
      </c>
    </row>
    <row r="50" spans="1:9" ht="15.75" thickBot="1" x14ac:dyDescent="0.25">
      <c r="A50" s="18" t="s">
        <v>108</v>
      </c>
      <c r="B50" s="16">
        <f>IF(ISBLANK(B46),"",IF(ISERROR(VLOOKUP(B46,NOMINA,15,FALSE)),"",VLOOKUP(B46,NOMINA,15,FALSE)))</f>
        <v>0</v>
      </c>
      <c r="C50" s="19" t="s">
        <v>114</v>
      </c>
      <c r="D50" s="67">
        <f>IF(ISBLANK(B46),"",IF(ISERROR(VLOOKUP(B46,NOMINA,21,FALSE)),"",VLOOKUP(B46,NOMINA,21,FALSE)))</f>
        <v>31200</v>
      </c>
      <c r="F50" s="18" t="s">
        <v>108</v>
      </c>
      <c r="G50" s="16">
        <f>IF(ISBLANK(G46),"",IF(ISERROR(VLOOKUP(G46,NOMINA,15,FALSE)),"",VLOOKUP(G46,NOMINA,15,FALSE)))</f>
        <v>0</v>
      </c>
      <c r="H50" s="19" t="s">
        <v>114</v>
      </c>
      <c r="I50" s="67">
        <f>IF(ISBLANK(G46),"",IF(ISERROR(VLOOKUP(G46,NOMINA,21,FALSE)),"",VLOOKUP(G46,NOMINA,21,FALSE)))</f>
        <v>27800</v>
      </c>
    </row>
    <row r="51" spans="1:9" ht="15.75" thickBot="1" x14ac:dyDescent="0.25">
      <c r="A51" s="20" t="s">
        <v>109</v>
      </c>
      <c r="B51" s="16">
        <f>IF(ISBLANK(B46),"",IF(ISERROR(VLOOKUP(B46,NOMINA,16,FALSE)),"",VLOOKUP(B46,NOMINA,16,FALSE)))</f>
        <v>72000</v>
      </c>
      <c r="C51" s="19" t="s">
        <v>115</v>
      </c>
      <c r="D51" s="67" t="str">
        <f>IF(ISBLANK(B46),"",IF(ISERROR(VLOOKUP(B46,NOMINA,22,FALSE)),"",VLOOKUP(B46,NOMINA,22,FALSE)))</f>
        <v/>
      </c>
      <c r="F51" s="20" t="s">
        <v>109</v>
      </c>
      <c r="G51" s="16">
        <f>IF(ISBLANK(G46),"",IF(ISERROR(VLOOKUP(G46,NOMINA,16,FALSE)),"",VLOOKUP(G46,NOMINA,16,FALSE)))</f>
        <v>72000</v>
      </c>
      <c r="H51" s="19" t="s">
        <v>115</v>
      </c>
      <c r="I51" s="67" t="str">
        <f>IF(ISBLANK(G46),"",IF(ISERROR(VLOOKUP(G46,NOMINA,22,FALSE)),"",VLOOKUP(G46,NOMINA,22,FALSE)))</f>
        <v/>
      </c>
    </row>
    <row r="52" spans="1:9" ht="15.75" thickBot="1" x14ac:dyDescent="0.25">
      <c r="A52" s="18" t="s">
        <v>110</v>
      </c>
      <c r="B52" s="16">
        <f>IF(ISBLANK(B46),"",IF(ISERROR(VLOOKUP(B46,NOMINA,17,FALSE)),"",VLOOKUP(B46,NOMINA,17,FALSE)))</f>
        <v>0</v>
      </c>
      <c r="C52" s="19" t="s">
        <v>116</v>
      </c>
      <c r="D52" s="67">
        <f>IF(ISBLANK(B46),"",IF(ISERROR(VLOOKUP(B46,NOMINA,23,FALSE)),"",VLOOKUP(B46,NOMINA,23,FALSE)))</f>
        <v>78000</v>
      </c>
      <c r="F52" s="18" t="s">
        <v>110</v>
      </c>
      <c r="G52" s="16">
        <f>IF(ISBLANK(G46),"",IF(ISERROR(VLOOKUP(G46,NOMINA,17,FALSE)),"",VLOOKUP(G46,NOMINA,17,FALSE)))</f>
        <v>44999.999999999993</v>
      </c>
      <c r="H52" s="19" t="s">
        <v>116</v>
      </c>
      <c r="I52" s="67">
        <f>IF(ISBLANK(G46),"",IF(ISERROR(VLOOKUP(G46,NOMINA,23,FALSE)),"",VLOOKUP(G46,NOMINA,23,FALSE)))</f>
        <v>69500</v>
      </c>
    </row>
    <row r="53" spans="1:9" ht="15.75" thickBot="1" x14ac:dyDescent="0.25">
      <c r="A53" s="18" t="s">
        <v>111</v>
      </c>
      <c r="B53" s="16">
        <f>IF(ISBLANK(B46),"",IF(ISERROR(VLOOKUP(B46,NOMINA,18,FALSE)),"",VLOOKUP(B46,NOMINA,18,FALSE)))</f>
        <v>30000</v>
      </c>
      <c r="C53" s="21" t="s">
        <v>117</v>
      </c>
      <c r="D53" s="73">
        <f>IF(ISBLANK(B46),"",IF(ISERROR(VLOOKUP(B46,NOMINA,24,FALSE)),"",VLOOKUP(B46,NOMINA,24,FALSE)))</f>
        <v>7500</v>
      </c>
      <c r="F53" s="18" t="s">
        <v>111</v>
      </c>
      <c r="G53" s="16">
        <f>IF(ISBLANK(G46),"",IF(ISERROR(VLOOKUP(G46,NOMINA,18,FALSE)),"",VLOOKUP(G46,NOMINA,18,FALSE)))</f>
        <v>30000</v>
      </c>
      <c r="H53" s="21" t="s">
        <v>117</v>
      </c>
      <c r="I53" s="73">
        <f>IF(ISBLANK(G46),"",IF(ISERROR(VLOOKUP(G46,NOMINA,24,FALSE)),"",VLOOKUP(G46,NOMINA,24,FALSE)))</f>
        <v>3100</v>
      </c>
    </row>
    <row r="54" spans="1:9" ht="13.5" thickBot="1" x14ac:dyDescent="0.25">
      <c r="A54" s="22"/>
      <c r="B54" s="68"/>
      <c r="C54" s="23"/>
      <c r="D54" s="74"/>
      <c r="F54" s="22"/>
      <c r="G54" s="68"/>
      <c r="H54" s="23"/>
      <c r="I54" s="74"/>
    </row>
    <row r="55" spans="1:9" ht="15.75" thickBot="1" x14ac:dyDescent="0.25">
      <c r="A55" s="24" t="s">
        <v>112</v>
      </c>
      <c r="B55" s="16">
        <f>IF(ISBLANK(B46),"",IF(ISERROR(VLOOKUP(B46,NOMINA,19,FALSE)),"",VLOOKUP(B46,NOMINA,19,FALSE)))</f>
        <v>852000</v>
      </c>
      <c r="C55" s="25" t="s">
        <v>118</v>
      </c>
      <c r="D55" s="67">
        <f>IF(ISBLANK(B46),"",IF(ISERROR(VLOOKUP(B46,NOMINA,25,FALSE)),"",VLOOKUP(B46,NOMINA,25,FALSE)))</f>
        <v>147900</v>
      </c>
      <c r="F55" s="24" t="s">
        <v>112</v>
      </c>
      <c r="G55" s="16">
        <f>IF(ISBLANK(G46),"",IF(ISERROR(VLOOKUP(G46,NOMINA,19,FALSE)),"",VLOOKUP(G46,NOMINA,19,FALSE)))</f>
        <v>767000</v>
      </c>
      <c r="H55" s="25" t="s">
        <v>118</v>
      </c>
      <c r="I55" s="67">
        <f>IF(ISBLANK(G46),"",IF(ISERROR(VLOOKUP(G46,NOMINA,25,FALSE)),"",VLOOKUP(G46,NOMINA,25,FALSE)))</f>
        <v>128200</v>
      </c>
    </row>
    <row r="56" spans="1:9" x14ac:dyDescent="0.2">
      <c r="A56" s="22"/>
      <c r="B56" s="69"/>
      <c r="C56" s="23"/>
      <c r="D56" s="74"/>
      <c r="F56" s="22"/>
      <c r="G56" s="69"/>
      <c r="H56" s="23"/>
      <c r="I56" s="74"/>
    </row>
    <row r="57" spans="1:9" ht="13.5" thickBot="1" x14ac:dyDescent="0.25">
      <c r="A57" s="26"/>
      <c r="B57" s="70"/>
      <c r="C57" s="27"/>
      <c r="D57" s="75"/>
      <c r="F57" s="26"/>
      <c r="G57" s="70"/>
      <c r="H57" s="27"/>
      <c r="I57" s="75"/>
    </row>
    <row r="58" spans="1:9" ht="18.75" thickBot="1" x14ac:dyDescent="0.3">
      <c r="B58" s="71"/>
      <c r="C58" s="28" t="s">
        <v>119</v>
      </c>
      <c r="D58" s="76">
        <f>IF(ISBLANK(B46),"",IF(ISERROR(VLOOKUP(B46,NOMINA,26,FALSE)),"",VLOOKUP(B46,NOMINA,26,FALSE)))</f>
        <v>704100</v>
      </c>
      <c r="G58" s="71"/>
      <c r="H58" s="28" t="s">
        <v>119</v>
      </c>
      <c r="I58" s="76">
        <f>IF(ISBLANK(G46),"",IF(ISERROR(VLOOKUP(G46,NOMINA,26,FALSE)),"",VLOOKUP(G46,NOMINA,26,FALSE)))</f>
        <v>638800</v>
      </c>
    </row>
    <row r="60" spans="1:9" ht="13.5" thickBot="1" x14ac:dyDescent="0.25"/>
    <row r="61" spans="1:9" x14ac:dyDescent="0.2">
      <c r="A61" s="181"/>
      <c r="B61" s="182"/>
      <c r="C61" s="182"/>
      <c r="D61" s="183"/>
      <c r="F61" s="181"/>
      <c r="G61" s="182"/>
      <c r="H61" s="182"/>
      <c r="I61" s="183"/>
    </row>
    <row r="62" spans="1:9" ht="18" x14ac:dyDescent="0.25">
      <c r="A62" s="184" t="s">
        <v>152</v>
      </c>
      <c r="B62" s="185"/>
      <c r="C62" s="185"/>
      <c r="D62" s="186"/>
      <c r="F62" s="184" t="s">
        <v>152</v>
      </c>
      <c r="G62" s="185"/>
      <c r="H62" s="185"/>
      <c r="I62" s="186"/>
    </row>
    <row r="63" spans="1:9" ht="18" x14ac:dyDescent="0.25">
      <c r="A63" s="187" t="s">
        <v>153</v>
      </c>
      <c r="B63" s="188"/>
      <c r="C63" s="188"/>
      <c r="D63" s="189"/>
      <c r="F63" s="187" t="s">
        <v>153</v>
      </c>
      <c r="G63" s="188"/>
      <c r="H63" s="188"/>
      <c r="I63" s="189"/>
    </row>
    <row r="64" spans="1:9" ht="15" x14ac:dyDescent="0.2">
      <c r="A64" s="172" t="s">
        <v>165</v>
      </c>
      <c r="B64" s="173"/>
      <c r="C64" s="173"/>
      <c r="D64" s="174"/>
      <c r="F64" s="172" t="s">
        <v>165</v>
      </c>
      <c r="G64" s="173"/>
      <c r="H64" s="173"/>
      <c r="I64" s="174"/>
    </row>
    <row r="65" spans="1:9" ht="13.5" thickBot="1" x14ac:dyDescent="0.25">
      <c r="A65" s="175"/>
      <c r="B65" s="176"/>
      <c r="C65" s="176"/>
      <c r="D65" s="177"/>
      <c r="F65" s="175"/>
      <c r="G65" s="176"/>
      <c r="H65" s="176"/>
      <c r="I65" s="177"/>
    </row>
    <row r="66" spans="1:9" ht="15.75" thickBot="1" x14ac:dyDescent="0.25">
      <c r="A66" s="13" t="s">
        <v>154</v>
      </c>
      <c r="B66" s="178" t="s">
        <v>128</v>
      </c>
      <c r="C66" s="179"/>
      <c r="D66" s="180"/>
      <c r="F66" s="13" t="s">
        <v>154</v>
      </c>
      <c r="G66" s="178" t="s">
        <v>129</v>
      </c>
      <c r="H66" s="179"/>
      <c r="I66" s="180"/>
    </row>
    <row r="67" spans="1:9" ht="15.75" thickBot="1" x14ac:dyDescent="0.25">
      <c r="A67" s="14" t="s">
        <v>120</v>
      </c>
      <c r="B67" s="166" t="str">
        <f>IF(ISBLANK(B66),"",IF(ISERROR(VLOOKUP(B66,BDEMPLEADOS,2,FALSE)),"NOEXISTE",VLOOKUP(B66,BDEMPLEADOS,2,FALSE)))</f>
        <v>Carolina Rodríguez</v>
      </c>
      <c r="C67" s="167"/>
      <c r="D67" s="168"/>
      <c r="F67" s="14" t="s">
        <v>120</v>
      </c>
      <c r="G67" s="166" t="str">
        <f>IF(ISBLANK(G66),"",IF(ISERROR(VLOOKUP(G66,BDEMPLEADOS,2,FALSE)),"NOEXISTE",VLOOKUP(G66,BDEMPLEADOS,2,FALSE)))</f>
        <v>Claudia González</v>
      </c>
      <c r="H67" s="167"/>
      <c r="I67" s="168"/>
    </row>
    <row r="68" spans="1:9" ht="15.75" thickBot="1" x14ac:dyDescent="0.25">
      <c r="A68" s="169"/>
      <c r="B68" s="170"/>
      <c r="C68" s="170"/>
      <c r="D68" s="171"/>
      <c r="F68" s="169"/>
      <c r="G68" s="170"/>
      <c r="H68" s="170"/>
      <c r="I68" s="171"/>
    </row>
    <row r="69" spans="1:9" ht="15.75" thickBot="1" x14ac:dyDescent="0.25">
      <c r="A69" s="15" t="s">
        <v>107</v>
      </c>
      <c r="B69" s="16">
        <f>IF(ISBLANK(B66),"",IF(ISERROR(VLOOKUP(B66,BDEMPLEADOS,4,FALSE)),"",VLOOKUP(B66,BDEMPLEADOS,4,FALSE)))</f>
        <v>616000</v>
      </c>
      <c r="C69" s="17" t="s">
        <v>113</v>
      </c>
      <c r="D69" s="67">
        <f>IF(ISBLANK(B66),"",IF(ISERROR(VLOOKUP(B66,NOMINA,20,FALSE)),"",VLOOKUP(B66,NOMINA,20,FALSE)))</f>
        <v>25840</v>
      </c>
      <c r="F69" s="15" t="s">
        <v>107</v>
      </c>
      <c r="G69" s="16">
        <f>IF(ISBLANK(G66),"",IF(ISERROR(VLOOKUP(G66,BDEMPLEADOS,4,FALSE)),"",VLOOKUP(G66,BDEMPLEADOS,4,FALSE)))</f>
        <v>620000</v>
      </c>
      <c r="H69" s="17" t="s">
        <v>113</v>
      </c>
      <c r="I69" s="67">
        <f>IF(ISBLANK(G66),"",IF(ISERROR(VLOOKUP(G66,NOMINA,20,FALSE)),"",VLOOKUP(G66,NOMINA,20,FALSE)))</f>
        <v>24266.666666666664</v>
      </c>
    </row>
    <row r="70" spans="1:9" ht="15.75" thickBot="1" x14ac:dyDescent="0.25">
      <c r="A70" s="18" t="s">
        <v>108</v>
      </c>
      <c r="B70" s="16">
        <f>IF(ISBLANK(B66),"",IF(ISERROR(VLOOKUP(B66,NOMINA,15,FALSE)),"",VLOOKUP(B66,NOMINA,15,FALSE)))</f>
        <v>0</v>
      </c>
      <c r="C70" s="19" t="s">
        <v>114</v>
      </c>
      <c r="D70" s="67">
        <f>IF(ISBLANK(B66),"",IF(ISERROR(VLOOKUP(B66,NOMINA,21,FALSE)),"",VLOOKUP(B66,NOMINA,21,FALSE)))</f>
        <v>25840</v>
      </c>
      <c r="F70" s="18" t="s">
        <v>108</v>
      </c>
      <c r="G70" s="16">
        <f>IF(ISBLANK(G66),"",IF(ISERROR(VLOOKUP(G66,NOMINA,15,FALSE)),"",VLOOKUP(G66,NOMINA,15,FALSE)))</f>
        <v>0</v>
      </c>
      <c r="H70" s="19" t="s">
        <v>114</v>
      </c>
      <c r="I70" s="67">
        <f>IF(ISBLANK(G66),"",IF(ISERROR(VLOOKUP(G66,NOMINA,21,FALSE)),"",VLOOKUP(G66,NOMINA,21,FALSE)))</f>
        <v>24266.666666666664</v>
      </c>
    </row>
    <row r="71" spans="1:9" ht="15.75" thickBot="1" x14ac:dyDescent="0.25">
      <c r="A71" s="20" t="s">
        <v>109</v>
      </c>
      <c r="B71" s="16">
        <f>IF(ISBLANK(B66),"",IF(ISERROR(VLOOKUP(B66,NOMINA,16,FALSE)),"",VLOOKUP(B66,NOMINA,16,FALSE)))</f>
        <v>72000</v>
      </c>
      <c r="C71" s="19" t="s">
        <v>115</v>
      </c>
      <c r="D71" s="67" t="str">
        <f>IF(ISBLANK(B66),"",IF(ISERROR(VLOOKUP(B66,NOMINA,22,FALSE)),"",VLOOKUP(B66,NOMINA,22,FALSE)))</f>
        <v/>
      </c>
      <c r="F71" s="20" t="s">
        <v>109</v>
      </c>
      <c r="G71" s="16">
        <f>IF(ISBLANK(G66),"",IF(ISERROR(VLOOKUP(G66,NOMINA,16,FALSE)),"",VLOOKUP(G66,NOMINA,16,FALSE)))</f>
        <v>60000</v>
      </c>
      <c r="H71" s="19" t="s">
        <v>115</v>
      </c>
      <c r="I71" s="67" t="str">
        <f>IF(ISBLANK(G66),"",IF(ISERROR(VLOOKUP(G66,NOMINA,22,FALSE)),"",VLOOKUP(G66,NOMINA,22,FALSE)))</f>
        <v/>
      </c>
    </row>
    <row r="72" spans="1:9" ht="15.75" thickBot="1" x14ac:dyDescent="0.25">
      <c r="A72" s="18" t="s">
        <v>110</v>
      </c>
      <c r="B72" s="16">
        <f>IF(ISBLANK(B66),"",IF(ISERROR(VLOOKUP(B66,NOMINA,17,FALSE)),"",VLOOKUP(B66,NOMINA,17,FALSE)))</f>
        <v>0</v>
      </c>
      <c r="C72" s="19" t="s">
        <v>116</v>
      </c>
      <c r="D72" s="67">
        <f>IF(ISBLANK(B66),"",IF(ISERROR(VLOOKUP(B66,NOMINA,23,FALSE)),"",VLOOKUP(B66,NOMINA,23,FALSE)))</f>
        <v>64600</v>
      </c>
      <c r="F72" s="18" t="s">
        <v>110</v>
      </c>
      <c r="G72" s="16">
        <f>IF(ISBLANK(G66),"",IF(ISERROR(VLOOKUP(G66,NOMINA,17,FALSE)),"",VLOOKUP(G66,NOMINA,17,FALSE)))</f>
        <v>44999.999999999993</v>
      </c>
      <c r="H72" s="19" t="s">
        <v>116</v>
      </c>
      <c r="I72" s="67">
        <f>IF(ISBLANK(G66),"",IF(ISERROR(VLOOKUP(G66,NOMINA,23,FALSE)),"",VLOOKUP(G66,NOMINA,23,FALSE)))</f>
        <v>60666.666666666664</v>
      </c>
    </row>
    <row r="73" spans="1:9" ht="15.75" thickBot="1" x14ac:dyDescent="0.25">
      <c r="A73" s="18" t="s">
        <v>111</v>
      </c>
      <c r="B73" s="16">
        <f>IF(ISBLANK(B66),"",IF(ISERROR(VLOOKUP(B66,NOMINA,18,FALSE)),"",VLOOKUP(B66,NOMINA,18,FALSE)))</f>
        <v>30000</v>
      </c>
      <c r="C73" s="21" t="s">
        <v>117</v>
      </c>
      <c r="D73" s="73">
        <f>IF(ISBLANK(B66),"",IF(ISERROR(VLOOKUP(B66,NOMINA,24,FALSE)),"",VLOOKUP(B66,NOMINA,24,FALSE)))</f>
        <v>3080</v>
      </c>
      <c r="F73" s="18" t="s">
        <v>111</v>
      </c>
      <c r="G73" s="16">
        <f>IF(ISBLANK(G66),"",IF(ISERROR(VLOOKUP(G66,NOMINA,18,FALSE)),"",VLOOKUP(G66,NOMINA,18,FALSE)))</f>
        <v>44999.999999999993</v>
      </c>
      <c r="H73" s="21" t="s">
        <v>117</v>
      </c>
      <c r="I73" s="73">
        <f>IF(ISBLANK(G66),"",IF(ISERROR(VLOOKUP(G66,NOMINA,24,FALSE)),"",VLOOKUP(G66,NOMINA,24,FALSE)))</f>
        <v>2583.3333333333335</v>
      </c>
    </row>
    <row r="74" spans="1:9" ht="13.5" thickBot="1" x14ac:dyDescent="0.25">
      <c r="A74" s="22"/>
      <c r="B74" s="68"/>
      <c r="C74" s="23"/>
      <c r="D74" s="74"/>
      <c r="F74" s="22"/>
      <c r="G74" s="68"/>
      <c r="H74" s="23"/>
      <c r="I74" s="74"/>
    </row>
    <row r="75" spans="1:9" ht="15.75" thickBot="1" x14ac:dyDescent="0.25">
      <c r="A75" s="24" t="s">
        <v>112</v>
      </c>
      <c r="B75" s="16">
        <f>IF(ISBLANK(B66),"",IF(ISERROR(VLOOKUP(B66,NOMINA,19,FALSE)),"",VLOOKUP(B66,NOMINA,19,FALSE)))</f>
        <v>718000</v>
      </c>
      <c r="C75" s="25" t="s">
        <v>118</v>
      </c>
      <c r="D75" s="67">
        <f>IF(ISBLANK(B66),"",IF(ISERROR(VLOOKUP(B66,NOMINA,25,FALSE)),"",VLOOKUP(B66,NOMINA,25,FALSE)))</f>
        <v>119360</v>
      </c>
      <c r="F75" s="24" t="s">
        <v>112</v>
      </c>
      <c r="G75" s="16">
        <f>IF(ISBLANK(G66),"",IF(ISERROR(VLOOKUP(G66,NOMINA,19,FALSE)),"",VLOOKUP(G66,NOMINA,19,FALSE)))</f>
        <v>666666.66666666663</v>
      </c>
      <c r="H75" s="25" t="s">
        <v>118</v>
      </c>
      <c r="I75" s="67">
        <f>IF(ISBLANK(G66),"",IF(ISERROR(VLOOKUP(G66,NOMINA,25,FALSE)),"",VLOOKUP(G66,NOMINA,25,FALSE)))</f>
        <v>111783.33333333333</v>
      </c>
    </row>
    <row r="76" spans="1:9" x14ac:dyDescent="0.2">
      <c r="A76" s="22"/>
      <c r="B76" s="69"/>
      <c r="C76" s="23"/>
      <c r="D76" s="74"/>
      <c r="F76" s="22"/>
      <c r="G76" s="69"/>
      <c r="H76" s="23"/>
      <c r="I76" s="74"/>
    </row>
    <row r="77" spans="1:9" ht="13.5" thickBot="1" x14ac:dyDescent="0.25">
      <c r="A77" s="26"/>
      <c r="B77" s="70"/>
      <c r="C77" s="27"/>
      <c r="D77" s="75"/>
      <c r="F77" s="26"/>
      <c r="G77" s="70"/>
      <c r="H77" s="27"/>
      <c r="I77" s="75"/>
    </row>
    <row r="78" spans="1:9" ht="18.75" thickBot="1" x14ac:dyDescent="0.3">
      <c r="B78" s="71"/>
      <c r="C78" s="28" t="s">
        <v>119</v>
      </c>
      <c r="D78" s="76">
        <f>IF(ISBLANK(B66),"",IF(ISERROR(VLOOKUP(B66,NOMINA,26,FALSE)),"",VLOOKUP(B66,NOMINA,26,FALSE)))</f>
        <v>598640</v>
      </c>
      <c r="G78" s="71"/>
      <c r="H78" s="28" t="s">
        <v>119</v>
      </c>
      <c r="I78" s="76">
        <f>IF(ISBLANK(G66),"",IF(ISERROR(VLOOKUP(G66,NOMINA,26,FALSE)),"",VLOOKUP(G66,NOMINA,26,FALSE)))</f>
        <v>554883.33333333326</v>
      </c>
    </row>
    <row r="80" spans="1:9" ht="13.5" thickBot="1" x14ac:dyDescent="0.25"/>
    <row r="81" spans="1:9" x14ac:dyDescent="0.2">
      <c r="A81" s="181"/>
      <c r="B81" s="182"/>
      <c r="C81" s="182"/>
      <c r="D81" s="183"/>
      <c r="F81" s="181"/>
      <c r="G81" s="182"/>
      <c r="H81" s="182"/>
      <c r="I81" s="183"/>
    </row>
    <row r="82" spans="1:9" ht="18" x14ac:dyDescent="0.25">
      <c r="A82" s="184" t="s">
        <v>152</v>
      </c>
      <c r="B82" s="185"/>
      <c r="C82" s="185"/>
      <c r="D82" s="186"/>
      <c r="F82" s="184" t="s">
        <v>152</v>
      </c>
      <c r="G82" s="185"/>
      <c r="H82" s="185"/>
      <c r="I82" s="186"/>
    </row>
    <row r="83" spans="1:9" ht="18" x14ac:dyDescent="0.25">
      <c r="A83" s="187" t="s">
        <v>153</v>
      </c>
      <c r="B83" s="188"/>
      <c r="C83" s="188"/>
      <c r="D83" s="189"/>
      <c r="F83" s="187" t="s">
        <v>153</v>
      </c>
      <c r="G83" s="188"/>
      <c r="H83" s="188"/>
      <c r="I83" s="189"/>
    </row>
    <row r="84" spans="1:9" ht="15" x14ac:dyDescent="0.2">
      <c r="A84" s="172" t="s">
        <v>165</v>
      </c>
      <c r="B84" s="173"/>
      <c r="C84" s="173"/>
      <c r="D84" s="174"/>
      <c r="F84" s="172" t="s">
        <v>165</v>
      </c>
      <c r="G84" s="173"/>
      <c r="H84" s="173"/>
      <c r="I84" s="174"/>
    </row>
    <row r="85" spans="1:9" ht="13.5" thickBot="1" x14ac:dyDescent="0.25">
      <c r="A85" s="175"/>
      <c r="B85" s="176"/>
      <c r="C85" s="176"/>
      <c r="D85" s="177"/>
      <c r="F85" s="175"/>
      <c r="G85" s="176"/>
      <c r="H85" s="176"/>
      <c r="I85" s="177"/>
    </row>
    <row r="86" spans="1:9" ht="15.75" thickBot="1" x14ac:dyDescent="0.25">
      <c r="A86" s="13" t="s">
        <v>154</v>
      </c>
      <c r="B86" s="178" t="s">
        <v>130</v>
      </c>
      <c r="C86" s="179"/>
      <c r="D86" s="180"/>
      <c r="F86" s="13" t="s">
        <v>154</v>
      </c>
      <c r="G86" s="178" t="s">
        <v>131</v>
      </c>
      <c r="H86" s="179"/>
      <c r="I86" s="180"/>
    </row>
    <row r="87" spans="1:9" ht="15.75" thickBot="1" x14ac:dyDescent="0.25">
      <c r="A87" s="14" t="s">
        <v>120</v>
      </c>
      <c r="B87" s="166" t="str">
        <f>IF(ISBLANK(B86),"",IF(ISERROR(VLOOKUP(B86,BDEMPLEADOS,2,FALSE)),"NOEXISTE",VLOOKUP(B86,BDEMPLEADOS,2,FALSE)))</f>
        <v>Diana López</v>
      </c>
      <c r="C87" s="167"/>
      <c r="D87" s="168"/>
      <c r="F87" s="14" t="s">
        <v>120</v>
      </c>
      <c r="G87" s="166" t="str">
        <f>IF(ISBLANK(G86),"",IF(ISERROR(VLOOKUP(G86,BDEMPLEADOS,2,FALSE)),"NOEXISTE",VLOOKUP(G86,BDEMPLEADOS,2,FALSE)))</f>
        <v>Didier Alejandro Sánchez</v>
      </c>
      <c r="H87" s="167"/>
      <c r="I87" s="168"/>
    </row>
    <row r="88" spans="1:9" ht="15.75" thickBot="1" x14ac:dyDescent="0.25">
      <c r="A88" s="169"/>
      <c r="B88" s="170"/>
      <c r="C88" s="170"/>
      <c r="D88" s="171"/>
      <c r="F88" s="169"/>
      <c r="G88" s="170"/>
      <c r="H88" s="170"/>
      <c r="I88" s="171"/>
    </row>
    <row r="89" spans="1:9" ht="15.75" thickBot="1" x14ac:dyDescent="0.25">
      <c r="A89" s="15" t="s">
        <v>107</v>
      </c>
      <c r="B89" s="16">
        <f>IF(ISBLANK(B86),"",IF(ISERROR(VLOOKUP(B86,BDEMPLEADOS,4,FALSE)),"",VLOOKUP(B86,BDEMPLEADOS,4,FALSE)))</f>
        <v>750000</v>
      </c>
      <c r="C89" s="17" t="s">
        <v>113</v>
      </c>
      <c r="D89" s="67">
        <f>IF(ISBLANK(B86),"",IF(ISERROR(VLOOKUP(B86,NOMINA,20,FALSE)),"",VLOOKUP(B86,NOMINA,20,FALSE)))</f>
        <v>31200</v>
      </c>
      <c r="F89" s="15" t="s">
        <v>107</v>
      </c>
      <c r="G89" s="16">
        <f>IF(ISBLANK(G86),"",IF(ISERROR(VLOOKUP(G86,BDEMPLEADOS,4,FALSE)),"",VLOOKUP(G86,BDEMPLEADOS,4,FALSE)))</f>
        <v>700000</v>
      </c>
      <c r="H89" s="17" t="s">
        <v>113</v>
      </c>
      <c r="I89" s="67">
        <f>IF(ISBLANK(G86),"",IF(ISERROR(VLOOKUP(G86,NOMINA,20,FALSE)),"",VLOOKUP(G86,NOMINA,20,FALSE)))</f>
        <v>29200</v>
      </c>
    </row>
    <row r="90" spans="1:9" ht="15.75" thickBot="1" x14ac:dyDescent="0.25">
      <c r="A90" s="18" t="s">
        <v>108</v>
      </c>
      <c r="B90" s="16">
        <f>IF(ISBLANK(B86),"",IF(ISERROR(VLOOKUP(B86,NOMINA,15,FALSE)),"",VLOOKUP(B86,NOMINA,15,FALSE)))</f>
        <v>0</v>
      </c>
      <c r="C90" s="19" t="s">
        <v>114</v>
      </c>
      <c r="D90" s="67">
        <f>IF(ISBLANK(B86),"",IF(ISERROR(VLOOKUP(B86,NOMINA,21,FALSE)),"",VLOOKUP(B86,NOMINA,21,FALSE)))</f>
        <v>31200</v>
      </c>
      <c r="F90" s="18" t="s">
        <v>108</v>
      </c>
      <c r="G90" s="16">
        <f>IF(ISBLANK(G86),"",IF(ISERROR(VLOOKUP(G86,NOMINA,15,FALSE)),"",VLOOKUP(G86,NOMINA,15,FALSE)))</f>
        <v>0</v>
      </c>
      <c r="H90" s="19" t="s">
        <v>114</v>
      </c>
      <c r="I90" s="67">
        <f>IF(ISBLANK(G86),"",IF(ISERROR(VLOOKUP(G86,NOMINA,21,FALSE)),"",VLOOKUP(G86,NOMINA,21,FALSE)))</f>
        <v>29200</v>
      </c>
    </row>
    <row r="91" spans="1:9" ht="15.75" thickBot="1" x14ac:dyDescent="0.25">
      <c r="A91" s="20" t="s">
        <v>109</v>
      </c>
      <c r="B91" s="16">
        <f>IF(ISBLANK(B86),"",IF(ISERROR(VLOOKUP(B86,NOMINA,16,FALSE)),"",VLOOKUP(B86,NOMINA,16,FALSE)))</f>
        <v>72000</v>
      </c>
      <c r="C91" s="19" t="s">
        <v>115</v>
      </c>
      <c r="D91" s="67" t="str">
        <f>IF(ISBLANK(B86),"",IF(ISERROR(VLOOKUP(B86,NOMINA,22,FALSE)),"",VLOOKUP(B86,NOMINA,22,FALSE)))</f>
        <v/>
      </c>
      <c r="F91" s="20" t="s">
        <v>109</v>
      </c>
      <c r="G91" s="16">
        <f>IF(ISBLANK(G86),"",IF(ISERROR(VLOOKUP(G86,NOMINA,16,FALSE)),"",VLOOKUP(G86,NOMINA,16,FALSE)))</f>
        <v>72000</v>
      </c>
      <c r="H91" s="19" t="s">
        <v>115</v>
      </c>
      <c r="I91" s="67" t="str">
        <f>IF(ISBLANK(G86),"",IF(ISERROR(VLOOKUP(G86,NOMINA,22,FALSE)),"",VLOOKUP(G86,NOMINA,22,FALSE)))</f>
        <v/>
      </c>
    </row>
    <row r="92" spans="1:9" ht="15.75" thickBot="1" x14ac:dyDescent="0.25">
      <c r="A92" s="18" t="s">
        <v>110</v>
      </c>
      <c r="B92" s="16">
        <f>IF(ISBLANK(B86),"",IF(ISERROR(VLOOKUP(B86,NOMINA,17,FALSE)),"",VLOOKUP(B86,NOMINA,17,FALSE)))</f>
        <v>0</v>
      </c>
      <c r="C92" s="19" t="s">
        <v>116</v>
      </c>
      <c r="D92" s="67">
        <f>IF(ISBLANK(B86),"",IF(ISERROR(VLOOKUP(B86,NOMINA,23,FALSE)),"",VLOOKUP(B86,NOMINA,23,FALSE)))</f>
        <v>78000</v>
      </c>
      <c r="F92" s="18" t="s">
        <v>110</v>
      </c>
      <c r="G92" s="16">
        <f>IF(ISBLANK(G86),"",IF(ISERROR(VLOOKUP(G86,NOMINA,17,FALSE)),"",VLOOKUP(G86,NOMINA,17,FALSE)))</f>
        <v>0</v>
      </c>
      <c r="H92" s="19" t="s">
        <v>116</v>
      </c>
      <c r="I92" s="67">
        <f>IF(ISBLANK(G86),"",IF(ISERROR(VLOOKUP(G86,NOMINA,23,FALSE)),"",VLOOKUP(G86,NOMINA,23,FALSE)))</f>
        <v>73000</v>
      </c>
    </row>
    <row r="93" spans="1:9" ht="15.75" thickBot="1" x14ac:dyDescent="0.25">
      <c r="A93" s="18" t="s">
        <v>111</v>
      </c>
      <c r="B93" s="16">
        <f>IF(ISBLANK(B86),"",IF(ISERROR(VLOOKUP(B86,NOMINA,18,FALSE)),"",VLOOKUP(B86,NOMINA,18,FALSE)))</f>
        <v>30000</v>
      </c>
      <c r="C93" s="21" t="s">
        <v>117</v>
      </c>
      <c r="D93" s="73">
        <f>IF(ISBLANK(B86),"",IF(ISERROR(VLOOKUP(B86,NOMINA,24,FALSE)),"",VLOOKUP(B86,NOMINA,24,FALSE)))</f>
        <v>7500</v>
      </c>
      <c r="F93" s="18" t="s">
        <v>111</v>
      </c>
      <c r="G93" s="16">
        <f>IF(ISBLANK(G86),"",IF(ISERROR(VLOOKUP(G86,NOMINA,18,FALSE)),"",VLOOKUP(G86,NOMINA,18,FALSE)))</f>
        <v>30000</v>
      </c>
      <c r="H93" s="21" t="s">
        <v>117</v>
      </c>
      <c r="I93" s="73">
        <f>IF(ISBLANK(G86),"",IF(ISERROR(VLOOKUP(G86,NOMINA,24,FALSE)),"",VLOOKUP(G86,NOMINA,24,FALSE)))</f>
        <v>7000</v>
      </c>
    </row>
    <row r="94" spans="1:9" ht="13.5" thickBot="1" x14ac:dyDescent="0.25">
      <c r="A94" s="22"/>
      <c r="B94" s="68"/>
      <c r="C94" s="23"/>
      <c r="D94" s="74"/>
      <c r="F94" s="22"/>
      <c r="G94" s="68"/>
      <c r="H94" s="23"/>
      <c r="I94" s="74"/>
    </row>
    <row r="95" spans="1:9" ht="15.75" thickBot="1" x14ac:dyDescent="0.25">
      <c r="A95" s="24" t="s">
        <v>112</v>
      </c>
      <c r="B95" s="16">
        <f>IF(ISBLANK(B86),"",IF(ISERROR(VLOOKUP(B86,NOMINA,19,FALSE)),"",VLOOKUP(B86,NOMINA,19,FALSE)))</f>
        <v>852000</v>
      </c>
      <c r="C95" s="25" t="s">
        <v>118</v>
      </c>
      <c r="D95" s="67">
        <f>IF(ISBLANK(B86),"",IF(ISERROR(VLOOKUP(B86,NOMINA,25,FALSE)),"",VLOOKUP(B86,NOMINA,25,FALSE)))</f>
        <v>147900</v>
      </c>
      <c r="F95" s="24" t="s">
        <v>112</v>
      </c>
      <c r="G95" s="16">
        <f>IF(ISBLANK(G86),"",IF(ISERROR(VLOOKUP(G86,NOMINA,19,FALSE)),"",VLOOKUP(G86,NOMINA,19,FALSE)))</f>
        <v>802000</v>
      </c>
      <c r="H95" s="25" t="s">
        <v>118</v>
      </c>
      <c r="I95" s="67">
        <f>IF(ISBLANK(G86),"",IF(ISERROR(VLOOKUP(G86,NOMINA,25,FALSE)),"",VLOOKUP(G86,NOMINA,25,FALSE)))</f>
        <v>138400</v>
      </c>
    </row>
    <row r="96" spans="1:9" x14ac:dyDescent="0.2">
      <c r="A96" s="22"/>
      <c r="B96" s="69"/>
      <c r="C96" s="23"/>
      <c r="D96" s="74"/>
      <c r="F96" s="22"/>
      <c r="G96" s="69"/>
      <c r="H96" s="23"/>
      <c r="I96" s="74"/>
    </row>
    <row r="97" spans="1:9" ht="13.5" thickBot="1" x14ac:dyDescent="0.25">
      <c r="A97" s="26"/>
      <c r="B97" s="70"/>
      <c r="C97" s="27"/>
      <c r="D97" s="75"/>
      <c r="F97" s="26"/>
      <c r="G97" s="70"/>
      <c r="H97" s="27"/>
      <c r="I97" s="75"/>
    </row>
    <row r="98" spans="1:9" ht="18.75" thickBot="1" x14ac:dyDescent="0.3">
      <c r="B98" s="71"/>
      <c r="C98" s="28" t="s">
        <v>119</v>
      </c>
      <c r="D98" s="76">
        <f>IF(ISBLANK(B86),"",IF(ISERROR(VLOOKUP(B86,NOMINA,26,FALSE)),"",VLOOKUP(B86,NOMINA,26,FALSE)))</f>
        <v>704100</v>
      </c>
      <c r="G98" s="71"/>
      <c r="H98" s="28" t="s">
        <v>119</v>
      </c>
      <c r="I98" s="76">
        <f>IF(ISBLANK(G86),"",IF(ISERROR(VLOOKUP(G86,NOMINA,26,FALSE)),"",VLOOKUP(G86,NOMINA,26,FALSE)))</f>
        <v>663600</v>
      </c>
    </row>
    <row r="100" spans="1:9" ht="13.5" thickBot="1" x14ac:dyDescent="0.25"/>
    <row r="101" spans="1:9" x14ac:dyDescent="0.2">
      <c r="A101" s="181"/>
      <c r="B101" s="182"/>
      <c r="C101" s="182"/>
      <c r="D101" s="183"/>
      <c r="F101" s="181"/>
      <c r="G101" s="182"/>
      <c r="H101" s="182"/>
      <c r="I101" s="183"/>
    </row>
    <row r="102" spans="1:9" ht="18" x14ac:dyDescent="0.25">
      <c r="A102" s="184" t="s">
        <v>152</v>
      </c>
      <c r="B102" s="185"/>
      <c r="C102" s="185"/>
      <c r="D102" s="186"/>
      <c r="F102" s="184" t="s">
        <v>152</v>
      </c>
      <c r="G102" s="185"/>
      <c r="H102" s="185"/>
      <c r="I102" s="186"/>
    </row>
    <row r="103" spans="1:9" ht="18" x14ac:dyDescent="0.25">
      <c r="A103" s="187" t="s">
        <v>153</v>
      </c>
      <c r="B103" s="188"/>
      <c r="C103" s="188"/>
      <c r="D103" s="189"/>
      <c r="F103" s="187" t="s">
        <v>153</v>
      </c>
      <c r="G103" s="188"/>
      <c r="H103" s="188"/>
      <c r="I103" s="189"/>
    </row>
    <row r="104" spans="1:9" ht="15" x14ac:dyDescent="0.2">
      <c r="A104" s="172" t="s">
        <v>165</v>
      </c>
      <c r="B104" s="173"/>
      <c r="C104" s="173"/>
      <c r="D104" s="174"/>
      <c r="F104" s="172" t="s">
        <v>165</v>
      </c>
      <c r="G104" s="173"/>
      <c r="H104" s="173"/>
      <c r="I104" s="174"/>
    </row>
    <row r="105" spans="1:9" ht="13.5" thickBot="1" x14ac:dyDescent="0.25">
      <c r="A105" s="175"/>
      <c r="B105" s="176"/>
      <c r="C105" s="176"/>
      <c r="D105" s="177"/>
      <c r="F105" s="175"/>
      <c r="G105" s="176"/>
      <c r="H105" s="176"/>
      <c r="I105" s="177"/>
    </row>
    <row r="106" spans="1:9" ht="15.75" thickBot="1" x14ac:dyDescent="0.25">
      <c r="A106" s="13" t="s">
        <v>154</v>
      </c>
      <c r="B106" s="178" t="s">
        <v>132</v>
      </c>
      <c r="C106" s="179"/>
      <c r="D106" s="180"/>
      <c r="F106" s="13" t="s">
        <v>154</v>
      </c>
      <c r="G106" s="178" t="s">
        <v>133</v>
      </c>
      <c r="H106" s="179"/>
      <c r="I106" s="180"/>
    </row>
    <row r="107" spans="1:9" ht="15.75" thickBot="1" x14ac:dyDescent="0.25">
      <c r="A107" s="14" t="s">
        <v>120</v>
      </c>
      <c r="B107" s="166" t="str">
        <f>IF(ISBLANK(B106),"",IF(ISERROR(VLOOKUP(B106,BDEMPLEADOS,2,FALSE)),"NOEXISTE",VLOOKUP(B106,BDEMPLEADOS,2,FALSE)))</f>
        <v>Dora Luz Montoya</v>
      </c>
      <c r="C107" s="167"/>
      <c r="D107" s="168"/>
      <c r="F107" s="14" t="s">
        <v>120</v>
      </c>
      <c r="G107" s="166" t="str">
        <f>IF(ISBLANK(G106),"",IF(ISERROR(VLOOKUP(G106,BDEMPLEADOS,2,FALSE)),"NOEXISTE",VLOOKUP(G106,BDEMPLEADOS,2,FALSE)))</f>
        <v>Doralba Galeano</v>
      </c>
      <c r="H107" s="167"/>
      <c r="I107" s="168"/>
    </row>
    <row r="108" spans="1:9" ht="15.75" thickBot="1" x14ac:dyDescent="0.25">
      <c r="A108" s="169"/>
      <c r="B108" s="170"/>
      <c r="C108" s="170"/>
      <c r="D108" s="171"/>
      <c r="F108" s="169"/>
      <c r="G108" s="170"/>
      <c r="H108" s="170"/>
      <c r="I108" s="171"/>
    </row>
    <row r="109" spans="1:9" ht="15.75" thickBot="1" x14ac:dyDescent="0.25">
      <c r="A109" s="15" t="s">
        <v>107</v>
      </c>
      <c r="B109" s="16">
        <f>IF(ISBLANK(B106),"",IF(ISERROR(VLOOKUP(B106,BDEMPLEADOS,4,FALSE)),"",VLOOKUP(B106,BDEMPLEADOS,4,FALSE)))</f>
        <v>900000</v>
      </c>
      <c r="C109" s="17" t="s">
        <v>113</v>
      </c>
      <c r="D109" s="67">
        <f>IF(ISBLANK(B106),"",IF(ISERROR(VLOOKUP(B106,NOMINA,20,FALSE)),"",VLOOKUP(B106,NOMINA,20,FALSE)))</f>
        <v>37200</v>
      </c>
      <c r="F109" s="15" t="s">
        <v>107</v>
      </c>
      <c r="G109" s="16">
        <f>IF(ISBLANK(G106),"",IF(ISERROR(VLOOKUP(G106,BDEMPLEADOS,4,FALSE)),"",VLOOKUP(G106,BDEMPLEADOS,4,FALSE)))</f>
        <v>616000</v>
      </c>
      <c r="H109" s="17" t="s">
        <v>113</v>
      </c>
      <c r="I109" s="67">
        <f>IF(ISBLANK(G106),"",IF(ISERROR(VLOOKUP(G106,NOMINA,20,FALSE)),"",VLOOKUP(G106,NOMINA,20,FALSE)))</f>
        <v>27867.666666666664</v>
      </c>
    </row>
    <row r="110" spans="1:9" ht="15.75" thickBot="1" x14ac:dyDescent="0.25">
      <c r="A110" s="18" t="s">
        <v>108</v>
      </c>
      <c r="B110" s="16">
        <f>IF(ISBLANK(B106),"",IF(ISERROR(VLOOKUP(B106,NOMINA,15,FALSE)),"",VLOOKUP(B106,NOMINA,15,FALSE)))</f>
        <v>0</v>
      </c>
      <c r="C110" s="19" t="s">
        <v>114</v>
      </c>
      <c r="D110" s="67">
        <f>IF(ISBLANK(B106),"",IF(ISERROR(VLOOKUP(B106,NOMINA,21,FALSE)),"",VLOOKUP(B106,NOMINA,21,FALSE)))</f>
        <v>37200</v>
      </c>
      <c r="F110" s="18" t="s">
        <v>108</v>
      </c>
      <c r="G110" s="16">
        <f>IF(ISBLANK(G106),"",IF(ISERROR(VLOOKUP(G106,NOMINA,15,FALSE)),"",VLOOKUP(G106,NOMINA,15,FALSE)))</f>
        <v>50691.666666666657</v>
      </c>
      <c r="H110" s="19" t="s">
        <v>114</v>
      </c>
      <c r="I110" s="67">
        <f>IF(ISBLANK(G106),"",IF(ISERROR(VLOOKUP(G106,NOMINA,21,FALSE)),"",VLOOKUP(G106,NOMINA,21,FALSE)))</f>
        <v>27867.666666666664</v>
      </c>
    </row>
    <row r="111" spans="1:9" ht="15.75" thickBot="1" x14ac:dyDescent="0.25">
      <c r="A111" s="20" t="s">
        <v>109</v>
      </c>
      <c r="B111" s="16">
        <f>IF(ISBLANK(B106),"",IF(ISERROR(VLOOKUP(B106,NOMINA,16,FALSE)),"",VLOOKUP(B106,NOMINA,16,FALSE)))</f>
        <v>72000</v>
      </c>
      <c r="C111" s="19" t="s">
        <v>115</v>
      </c>
      <c r="D111" s="67" t="str">
        <f>IF(ISBLANK(B106),"",IF(ISERROR(VLOOKUP(B106,NOMINA,22,FALSE)),"",VLOOKUP(B106,NOMINA,22,FALSE)))</f>
        <v/>
      </c>
      <c r="F111" s="20" t="s">
        <v>109</v>
      </c>
      <c r="G111" s="16">
        <f>IF(ISBLANK(G106),"",IF(ISERROR(VLOOKUP(G106,NOMINA,16,FALSE)),"",VLOOKUP(G106,NOMINA,16,FALSE)))</f>
        <v>72000</v>
      </c>
      <c r="H111" s="19" t="s">
        <v>115</v>
      </c>
      <c r="I111" s="67" t="str">
        <f>IF(ISBLANK(G106),"",IF(ISERROR(VLOOKUP(G106,NOMINA,22,FALSE)),"",VLOOKUP(G106,NOMINA,22,FALSE)))</f>
        <v/>
      </c>
    </row>
    <row r="112" spans="1:9" ht="15.75" thickBot="1" x14ac:dyDescent="0.25">
      <c r="A112" s="18" t="s">
        <v>110</v>
      </c>
      <c r="B112" s="16">
        <f>IF(ISBLANK(B106),"",IF(ISERROR(VLOOKUP(B106,NOMINA,17,FALSE)),"",VLOOKUP(B106,NOMINA,17,FALSE)))</f>
        <v>0</v>
      </c>
      <c r="C112" s="19" t="s">
        <v>116</v>
      </c>
      <c r="D112" s="67">
        <f>IF(ISBLANK(B106),"",IF(ISERROR(VLOOKUP(B106,NOMINA,23,FALSE)),"",VLOOKUP(B106,NOMINA,23,FALSE)))</f>
        <v>93000</v>
      </c>
      <c r="F112" s="18" t="s">
        <v>110</v>
      </c>
      <c r="G112" s="16">
        <f>IF(ISBLANK(G106),"",IF(ISERROR(VLOOKUP(G106,NOMINA,17,FALSE)),"",VLOOKUP(G106,NOMINA,17,FALSE)))</f>
        <v>0</v>
      </c>
      <c r="H112" s="19" t="s">
        <v>116</v>
      </c>
      <c r="I112" s="67">
        <f>IF(ISBLANK(G106),"",IF(ISERROR(VLOOKUP(G106,NOMINA,23,FALSE)),"",VLOOKUP(G106,NOMINA,23,FALSE)))</f>
        <v>69669.166666666672</v>
      </c>
    </row>
    <row r="113" spans="1:9" ht="15.75" thickBot="1" x14ac:dyDescent="0.25">
      <c r="A113" s="18" t="s">
        <v>111</v>
      </c>
      <c r="B113" s="16">
        <f>IF(ISBLANK(B106),"",IF(ISERROR(VLOOKUP(B106,NOMINA,18,FALSE)),"",VLOOKUP(B106,NOMINA,18,FALSE)))</f>
        <v>30000</v>
      </c>
      <c r="C113" s="21" t="s">
        <v>117</v>
      </c>
      <c r="D113" s="73">
        <f>IF(ISBLANK(B106),"",IF(ISERROR(VLOOKUP(B106,NOMINA,24,FALSE)),"",VLOOKUP(B106,NOMINA,24,FALSE)))</f>
        <v>9000</v>
      </c>
      <c r="F113" s="18" t="s">
        <v>111</v>
      </c>
      <c r="G113" s="16">
        <f>IF(ISBLANK(G106),"",IF(ISERROR(VLOOKUP(G106,NOMINA,18,FALSE)),"",VLOOKUP(G106,NOMINA,18,FALSE)))</f>
        <v>30000</v>
      </c>
      <c r="H113" s="21" t="s">
        <v>117</v>
      </c>
      <c r="I113" s="73">
        <f>IF(ISBLANK(G106),"",IF(ISERROR(VLOOKUP(G106,NOMINA,24,FALSE)),"",VLOOKUP(G106,NOMINA,24,FALSE)))</f>
        <v>3080</v>
      </c>
    </row>
    <row r="114" spans="1:9" ht="13.5" thickBot="1" x14ac:dyDescent="0.25">
      <c r="A114" s="22"/>
      <c r="B114" s="68"/>
      <c r="C114" s="23"/>
      <c r="D114" s="74"/>
      <c r="F114" s="22"/>
      <c r="G114" s="68"/>
      <c r="H114" s="23"/>
      <c r="I114" s="74"/>
    </row>
    <row r="115" spans="1:9" ht="15.75" thickBot="1" x14ac:dyDescent="0.25">
      <c r="A115" s="24" t="s">
        <v>112</v>
      </c>
      <c r="B115" s="16">
        <f>IF(ISBLANK(B106),"",IF(ISERROR(VLOOKUP(B106,NOMINA,19,FALSE)),"",VLOOKUP(B106,NOMINA,19,FALSE)))</f>
        <v>1002000</v>
      </c>
      <c r="C115" s="25" t="s">
        <v>118</v>
      </c>
      <c r="D115" s="67">
        <f>IF(ISBLANK(B106),"",IF(ISERROR(VLOOKUP(B106,NOMINA,25,FALSE)),"",VLOOKUP(B106,NOMINA,25,FALSE)))</f>
        <v>176400</v>
      </c>
      <c r="F115" s="24" t="s">
        <v>112</v>
      </c>
      <c r="G115" s="16">
        <f>IF(ISBLANK(G106),"",IF(ISERROR(VLOOKUP(G106,NOMINA,19,FALSE)),"",VLOOKUP(G106,NOMINA,19,FALSE)))</f>
        <v>768691.66666666663</v>
      </c>
      <c r="H115" s="25" t="s">
        <v>118</v>
      </c>
      <c r="I115" s="67">
        <f>IF(ISBLANK(G106),"",IF(ISERROR(VLOOKUP(G106,NOMINA,25,FALSE)),"",VLOOKUP(G106,NOMINA,25,FALSE)))</f>
        <v>128484.5</v>
      </c>
    </row>
    <row r="116" spans="1:9" x14ac:dyDescent="0.2">
      <c r="A116" s="22"/>
      <c r="B116" s="69"/>
      <c r="C116" s="23"/>
      <c r="D116" s="74"/>
      <c r="F116" s="22"/>
      <c r="G116" s="69"/>
      <c r="H116" s="23"/>
      <c r="I116" s="74"/>
    </row>
    <row r="117" spans="1:9" ht="13.5" thickBot="1" x14ac:dyDescent="0.25">
      <c r="A117" s="26"/>
      <c r="B117" s="70"/>
      <c r="C117" s="27"/>
      <c r="D117" s="75"/>
      <c r="F117" s="26"/>
      <c r="G117" s="70"/>
      <c r="H117" s="27"/>
      <c r="I117" s="75"/>
    </row>
    <row r="118" spans="1:9" ht="18.75" thickBot="1" x14ac:dyDescent="0.3">
      <c r="B118" s="71"/>
      <c r="C118" s="28" t="s">
        <v>119</v>
      </c>
      <c r="D118" s="76">
        <f>IF(ISBLANK(B106),"",IF(ISERROR(VLOOKUP(B106,NOMINA,26,FALSE)),"",VLOOKUP(B106,NOMINA,26,FALSE)))</f>
        <v>825600</v>
      </c>
      <c r="G118" s="71"/>
      <c r="H118" s="28" t="s">
        <v>119</v>
      </c>
      <c r="I118" s="76">
        <f>IF(ISBLANK(G106),"",IF(ISERROR(VLOOKUP(G106,NOMINA,26,FALSE)),"",VLOOKUP(G106,NOMINA,26,FALSE)))</f>
        <v>640207.16666666663</v>
      </c>
    </row>
    <row r="120" spans="1:9" ht="13.5" thickBot="1" x14ac:dyDescent="0.25"/>
    <row r="121" spans="1:9" x14ac:dyDescent="0.2">
      <c r="A121" s="181"/>
      <c r="B121" s="182"/>
      <c r="C121" s="182"/>
      <c r="D121" s="183"/>
      <c r="F121" s="181"/>
      <c r="G121" s="182"/>
      <c r="H121" s="182"/>
      <c r="I121" s="183"/>
    </row>
    <row r="122" spans="1:9" ht="18" x14ac:dyDescent="0.25">
      <c r="A122" s="184" t="s">
        <v>152</v>
      </c>
      <c r="B122" s="185"/>
      <c r="C122" s="185"/>
      <c r="D122" s="186"/>
      <c r="F122" s="184" t="s">
        <v>152</v>
      </c>
      <c r="G122" s="185"/>
      <c r="H122" s="185"/>
      <c r="I122" s="186"/>
    </row>
    <row r="123" spans="1:9" ht="18" x14ac:dyDescent="0.25">
      <c r="A123" s="187" t="s">
        <v>153</v>
      </c>
      <c r="B123" s="188"/>
      <c r="C123" s="188"/>
      <c r="D123" s="189"/>
      <c r="F123" s="187" t="s">
        <v>153</v>
      </c>
      <c r="G123" s="188"/>
      <c r="H123" s="188"/>
      <c r="I123" s="189"/>
    </row>
    <row r="124" spans="1:9" ht="15" x14ac:dyDescent="0.2">
      <c r="A124" s="172" t="s">
        <v>165</v>
      </c>
      <c r="B124" s="173"/>
      <c r="C124" s="173"/>
      <c r="D124" s="174"/>
      <c r="F124" s="172" t="s">
        <v>165</v>
      </c>
      <c r="G124" s="173"/>
      <c r="H124" s="173"/>
      <c r="I124" s="174"/>
    </row>
    <row r="125" spans="1:9" ht="13.5" thickBot="1" x14ac:dyDescent="0.25">
      <c r="A125" s="175"/>
      <c r="B125" s="176"/>
      <c r="C125" s="176"/>
      <c r="D125" s="177"/>
      <c r="F125" s="175"/>
      <c r="G125" s="176"/>
      <c r="H125" s="176"/>
      <c r="I125" s="177"/>
    </row>
    <row r="126" spans="1:9" ht="15.75" thickBot="1" x14ac:dyDescent="0.25">
      <c r="A126" s="13" t="s">
        <v>154</v>
      </c>
      <c r="B126" s="178" t="s">
        <v>134</v>
      </c>
      <c r="C126" s="179"/>
      <c r="D126" s="180"/>
      <c r="F126" s="13" t="s">
        <v>154</v>
      </c>
      <c r="G126" s="178" t="s">
        <v>135</v>
      </c>
      <c r="H126" s="179"/>
      <c r="I126" s="180"/>
    </row>
    <row r="127" spans="1:9" ht="15.75" thickBot="1" x14ac:dyDescent="0.25">
      <c r="A127" s="14" t="s">
        <v>120</v>
      </c>
      <c r="B127" s="166" t="str">
        <f>IF(ISBLANK(B126),"",IF(ISERROR(VLOOKUP(B126,BDEMPLEADOS,2,FALSE)),"NOEXISTE",VLOOKUP(B126,BDEMPLEADOS,2,FALSE)))</f>
        <v>Eliana Marcela Aguirre</v>
      </c>
      <c r="C127" s="167"/>
      <c r="D127" s="168"/>
      <c r="F127" s="14" t="s">
        <v>120</v>
      </c>
      <c r="G127" s="166" t="str">
        <f>IF(ISBLANK(G126),"",IF(ISERROR(VLOOKUP(G126,BDEMPLEADOS,2,FALSE)),"NOEXISTE",VLOOKUP(G126,BDEMPLEADOS,2,FALSE)))</f>
        <v>Francy Ruby Román</v>
      </c>
      <c r="H127" s="167"/>
      <c r="I127" s="168"/>
    </row>
    <row r="128" spans="1:9" ht="15.75" thickBot="1" x14ac:dyDescent="0.25">
      <c r="A128" s="169"/>
      <c r="B128" s="170"/>
      <c r="C128" s="170"/>
      <c r="D128" s="171"/>
      <c r="F128" s="169"/>
      <c r="G128" s="170"/>
      <c r="H128" s="170"/>
      <c r="I128" s="171"/>
    </row>
    <row r="129" spans="1:9" ht="15.75" thickBot="1" x14ac:dyDescent="0.25">
      <c r="A129" s="15" t="s">
        <v>107</v>
      </c>
      <c r="B129" s="16">
        <f>IF(ISBLANK(B126),"",IF(ISERROR(VLOOKUP(B126,BDEMPLEADOS,4,FALSE)),"",VLOOKUP(B126,BDEMPLEADOS,4,FALSE)))</f>
        <v>7000000</v>
      </c>
      <c r="C129" s="17" t="s">
        <v>113</v>
      </c>
      <c r="D129" s="67">
        <f>IF(ISBLANK(B126),"",IF(ISERROR(VLOOKUP(B126,NOMINA,20,FALSE)),"",VLOOKUP(B126,NOMINA,20,FALSE)))</f>
        <v>281200</v>
      </c>
      <c r="F129" s="15" t="s">
        <v>107</v>
      </c>
      <c r="G129" s="16">
        <f>IF(ISBLANK(G126),"",IF(ISERROR(VLOOKUP(G126,BDEMPLEADOS,4,FALSE)),"",VLOOKUP(G126,BDEMPLEADOS,4,FALSE)))</f>
        <v>900000</v>
      </c>
      <c r="H129" s="17" t="s">
        <v>113</v>
      </c>
      <c r="I129" s="67">
        <f>IF(ISBLANK(G126),"",IF(ISERROR(VLOOKUP(G126,NOMINA,20,FALSE)),"",VLOOKUP(G126,NOMINA,20,FALSE)))</f>
        <v>37200</v>
      </c>
    </row>
    <row r="130" spans="1:9" ht="15.75" thickBot="1" x14ac:dyDescent="0.25">
      <c r="A130" s="18" t="s">
        <v>108</v>
      </c>
      <c r="B130" s="16">
        <f>IF(ISBLANK(B126),"",IF(ISERROR(VLOOKUP(B126,NOMINA,15,FALSE)),"",VLOOKUP(B126,NOMINA,15,FALSE)))</f>
        <v>0</v>
      </c>
      <c r="C130" s="19" t="s">
        <v>114</v>
      </c>
      <c r="D130" s="67">
        <f>IF(ISBLANK(B126),"",IF(ISERROR(VLOOKUP(B126,NOMINA,21,FALSE)),"",VLOOKUP(B126,NOMINA,21,FALSE)))</f>
        <v>281200</v>
      </c>
      <c r="F130" s="18" t="s">
        <v>108</v>
      </c>
      <c r="G130" s="16">
        <f>IF(ISBLANK(G126),"",IF(ISERROR(VLOOKUP(G126,NOMINA,15,FALSE)),"",VLOOKUP(G126,NOMINA,15,FALSE)))</f>
        <v>0</v>
      </c>
      <c r="H130" s="19" t="s">
        <v>114</v>
      </c>
      <c r="I130" s="67">
        <f>IF(ISBLANK(G126),"",IF(ISERROR(VLOOKUP(G126,NOMINA,21,FALSE)),"",VLOOKUP(G126,NOMINA,21,FALSE)))</f>
        <v>37200</v>
      </c>
    </row>
    <row r="131" spans="1:9" ht="15.75" thickBot="1" x14ac:dyDescent="0.25">
      <c r="A131" s="20" t="s">
        <v>109</v>
      </c>
      <c r="B131" s="16">
        <f>IF(ISBLANK(B126),"",IF(ISERROR(VLOOKUP(B126,NOMINA,16,FALSE)),"",VLOOKUP(B126,NOMINA,16,FALSE)))</f>
        <v>0</v>
      </c>
      <c r="C131" s="19" t="s">
        <v>115</v>
      </c>
      <c r="D131" s="67">
        <f>IF(ISBLANK(B126),"",IF(ISERROR(VLOOKUP(B126,NOMINA,22,FALSE)),"",VLOOKUP(B126,NOMINA,22,FALSE)))</f>
        <v>70300</v>
      </c>
      <c r="F131" s="20" t="s">
        <v>109</v>
      </c>
      <c r="G131" s="16">
        <f>IF(ISBLANK(G126),"",IF(ISERROR(VLOOKUP(G126,NOMINA,16,FALSE)),"",VLOOKUP(G126,NOMINA,16,FALSE)))</f>
        <v>72000</v>
      </c>
      <c r="H131" s="19" t="s">
        <v>115</v>
      </c>
      <c r="I131" s="67" t="str">
        <f>IF(ISBLANK(G126),"",IF(ISERROR(VLOOKUP(G126,NOMINA,22,FALSE)),"",VLOOKUP(G126,NOMINA,22,FALSE)))</f>
        <v/>
      </c>
    </row>
    <row r="132" spans="1:9" ht="15.75" thickBot="1" x14ac:dyDescent="0.25">
      <c r="A132" s="18" t="s">
        <v>110</v>
      </c>
      <c r="B132" s="16">
        <f>IF(ISBLANK(B126),"",IF(ISERROR(VLOOKUP(B126,NOMINA,17,FALSE)),"",VLOOKUP(B126,NOMINA,17,FALSE)))</f>
        <v>0</v>
      </c>
      <c r="C132" s="19" t="s">
        <v>116</v>
      </c>
      <c r="D132" s="67">
        <f>IF(ISBLANK(B126),"",IF(ISERROR(VLOOKUP(B126,NOMINA,23,FALSE)),"",VLOOKUP(B126,NOMINA,23,FALSE)))</f>
        <v>703000</v>
      </c>
      <c r="F132" s="18" t="s">
        <v>110</v>
      </c>
      <c r="G132" s="16">
        <f>IF(ISBLANK(G126),"",IF(ISERROR(VLOOKUP(G126,NOMINA,17,FALSE)),"",VLOOKUP(G126,NOMINA,17,FALSE)))</f>
        <v>0</v>
      </c>
      <c r="H132" s="19" t="s">
        <v>116</v>
      </c>
      <c r="I132" s="67">
        <f>IF(ISBLANK(G126),"",IF(ISERROR(VLOOKUP(G126,NOMINA,23,FALSE)),"",VLOOKUP(G126,NOMINA,23,FALSE)))</f>
        <v>93000</v>
      </c>
    </row>
    <row r="133" spans="1:9" ht="15.75" thickBot="1" x14ac:dyDescent="0.25">
      <c r="A133" s="18" t="s">
        <v>111</v>
      </c>
      <c r="B133" s="16">
        <f>IF(ISBLANK(B126),"",IF(ISERROR(VLOOKUP(B126,NOMINA,18,FALSE)),"",VLOOKUP(B126,NOMINA,18,FALSE)))</f>
        <v>30000</v>
      </c>
      <c r="C133" s="21" t="s">
        <v>117</v>
      </c>
      <c r="D133" s="73">
        <f>IF(ISBLANK(B126),"",IF(ISERROR(VLOOKUP(B126,NOMINA,24,FALSE)),"",VLOOKUP(B126,NOMINA,24,FALSE)))</f>
        <v>70000</v>
      </c>
      <c r="F133" s="18" t="s">
        <v>111</v>
      </c>
      <c r="G133" s="16">
        <f>IF(ISBLANK(G126),"",IF(ISERROR(VLOOKUP(G126,NOMINA,18,FALSE)),"",VLOOKUP(G126,NOMINA,18,FALSE)))</f>
        <v>30000</v>
      </c>
      <c r="H133" s="21" t="s">
        <v>117</v>
      </c>
      <c r="I133" s="73">
        <f>IF(ISBLANK(G126),"",IF(ISERROR(VLOOKUP(G126,NOMINA,24,FALSE)),"",VLOOKUP(G126,NOMINA,24,FALSE)))</f>
        <v>9000</v>
      </c>
    </row>
    <row r="134" spans="1:9" ht="13.5" thickBot="1" x14ac:dyDescent="0.25">
      <c r="A134" s="22"/>
      <c r="B134" s="68"/>
      <c r="C134" s="23"/>
      <c r="D134" s="74"/>
      <c r="F134" s="22"/>
      <c r="G134" s="68"/>
      <c r="H134" s="23"/>
      <c r="I134" s="74"/>
    </row>
    <row r="135" spans="1:9" ht="15.75" thickBot="1" x14ac:dyDescent="0.25">
      <c r="A135" s="24" t="s">
        <v>112</v>
      </c>
      <c r="B135" s="16">
        <f>IF(ISBLANK(B126),"",IF(ISERROR(VLOOKUP(B126,NOMINA,19,FALSE)),"",VLOOKUP(B126,NOMINA,19,FALSE)))</f>
        <v>7030000</v>
      </c>
      <c r="C135" s="25" t="s">
        <v>118</v>
      </c>
      <c r="D135" s="67">
        <f>IF(ISBLANK(B126),"",IF(ISERROR(VLOOKUP(B126,NOMINA,25,FALSE)),"",VLOOKUP(B126,NOMINA,25,FALSE)))</f>
        <v>1405700</v>
      </c>
      <c r="F135" s="24" t="s">
        <v>112</v>
      </c>
      <c r="G135" s="16">
        <f>IF(ISBLANK(G126),"",IF(ISERROR(VLOOKUP(G126,NOMINA,19,FALSE)),"",VLOOKUP(G126,NOMINA,19,FALSE)))</f>
        <v>1002000</v>
      </c>
      <c r="H135" s="25" t="s">
        <v>118</v>
      </c>
      <c r="I135" s="67">
        <f>IF(ISBLANK(G126),"",IF(ISERROR(VLOOKUP(G126,NOMINA,25,FALSE)),"",VLOOKUP(G126,NOMINA,25,FALSE)))</f>
        <v>176400</v>
      </c>
    </row>
    <row r="136" spans="1:9" x14ac:dyDescent="0.2">
      <c r="A136" s="22"/>
      <c r="B136" s="69"/>
      <c r="C136" s="23"/>
      <c r="D136" s="74"/>
      <c r="F136" s="22"/>
      <c r="G136" s="69"/>
      <c r="H136" s="23"/>
      <c r="I136" s="74"/>
    </row>
    <row r="137" spans="1:9" ht="13.5" thickBot="1" x14ac:dyDescent="0.25">
      <c r="A137" s="26"/>
      <c r="B137" s="70"/>
      <c r="C137" s="27"/>
      <c r="D137" s="75"/>
      <c r="F137" s="26"/>
      <c r="G137" s="70"/>
      <c r="H137" s="27"/>
      <c r="I137" s="75"/>
    </row>
    <row r="138" spans="1:9" ht="18.75" thickBot="1" x14ac:dyDescent="0.3">
      <c r="B138" s="71"/>
      <c r="C138" s="28" t="s">
        <v>119</v>
      </c>
      <c r="D138" s="76">
        <f>IF(ISBLANK(B126),"",IF(ISERROR(VLOOKUP(B126,NOMINA,26,FALSE)),"",VLOOKUP(B126,NOMINA,26,FALSE)))</f>
        <v>5624300</v>
      </c>
      <c r="G138" s="71"/>
      <c r="H138" s="28" t="s">
        <v>119</v>
      </c>
      <c r="I138" s="76">
        <f>IF(ISBLANK(G126),"",IF(ISERROR(VLOOKUP(G126,NOMINA,26,FALSE)),"",VLOOKUP(G126,NOMINA,26,FALSE)))</f>
        <v>825600</v>
      </c>
    </row>
    <row r="140" spans="1:9" ht="13.5" thickBot="1" x14ac:dyDescent="0.25"/>
    <row r="141" spans="1:9" x14ac:dyDescent="0.2">
      <c r="A141" s="181"/>
      <c r="B141" s="182"/>
      <c r="C141" s="182"/>
      <c r="D141" s="183"/>
      <c r="F141" s="181"/>
      <c r="G141" s="182"/>
      <c r="H141" s="182"/>
      <c r="I141" s="183"/>
    </row>
    <row r="142" spans="1:9" ht="18" x14ac:dyDescent="0.25">
      <c r="A142" s="184" t="s">
        <v>152</v>
      </c>
      <c r="B142" s="185"/>
      <c r="C142" s="185"/>
      <c r="D142" s="186"/>
      <c r="F142" s="184" t="s">
        <v>152</v>
      </c>
      <c r="G142" s="185"/>
      <c r="H142" s="185"/>
      <c r="I142" s="186"/>
    </row>
    <row r="143" spans="1:9" ht="18" x14ac:dyDescent="0.25">
      <c r="A143" s="187" t="s">
        <v>153</v>
      </c>
      <c r="B143" s="188"/>
      <c r="C143" s="188"/>
      <c r="D143" s="189"/>
      <c r="F143" s="187" t="s">
        <v>153</v>
      </c>
      <c r="G143" s="188"/>
      <c r="H143" s="188"/>
      <c r="I143" s="189"/>
    </row>
    <row r="144" spans="1:9" ht="15" x14ac:dyDescent="0.2">
      <c r="A144" s="172" t="s">
        <v>165</v>
      </c>
      <c r="B144" s="173"/>
      <c r="C144" s="173"/>
      <c r="D144" s="174"/>
      <c r="F144" s="172" t="s">
        <v>165</v>
      </c>
      <c r="G144" s="173"/>
      <c r="H144" s="173"/>
      <c r="I144" s="174"/>
    </row>
    <row r="145" spans="1:9" ht="13.5" thickBot="1" x14ac:dyDescent="0.25">
      <c r="A145" s="175"/>
      <c r="B145" s="176"/>
      <c r="C145" s="176"/>
      <c r="D145" s="177"/>
      <c r="F145" s="175"/>
      <c r="G145" s="176"/>
      <c r="H145" s="176"/>
      <c r="I145" s="177"/>
    </row>
    <row r="146" spans="1:9" ht="15.75" thickBot="1" x14ac:dyDescent="0.25">
      <c r="A146" s="13" t="s">
        <v>154</v>
      </c>
      <c r="B146" s="178" t="s">
        <v>136</v>
      </c>
      <c r="C146" s="179"/>
      <c r="D146" s="180"/>
      <c r="F146" s="13" t="s">
        <v>154</v>
      </c>
      <c r="G146" s="178" t="s">
        <v>137</v>
      </c>
      <c r="H146" s="179"/>
      <c r="I146" s="180"/>
    </row>
    <row r="147" spans="1:9" ht="15.75" thickBot="1" x14ac:dyDescent="0.25">
      <c r="A147" s="14" t="s">
        <v>120</v>
      </c>
      <c r="B147" s="166" t="str">
        <f>IF(ISBLANK(B146),"",IF(ISERROR(VLOOKUP(B146,BDEMPLEADOS,2,FALSE)),"NOEXISTE",VLOOKUP(B146,BDEMPLEADOS,2,FALSE)))</f>
        <v>Hernán Darío Hernández</v>
      </c>
      <c r="C147" s="167"/>
      <c r="D147" s="168"/>
      <c r="F147" s="14" t="s">
        <v>120</v>
      </c>
      <c r="G147" s="166" t="str">
        <f>IF(ISBLANK(G146),"",IF(ISERROR(VLOOKUP(G146,BDEMPLEADOS,2,FALSE)),"NOEXISTE",VLOOKUP(G146,BDEMPLEADOS,2,FALSE)))</f>
        <v>Leidy Maritza Herrera</v>
      </c>
      <c r="H147" s="167"/>
      <c r="I147" s="168"/>
    </row>
    <row r="148" spans="1:9" ht="15.75" thickBot="1" x14ac:dyDescent="0.25">
      <c r="A148" s="169"/>
      <c r="B148" s="170"/>
      <c r="C148" s="170"/>
      <c r="D148" s="171"/>
      <c r="F148" s="169"/>
      <c r="G148" s="170"/>
      <c r="H148" s="170"/>
      <c r="I148" s="171"/>
    </row>
    <row r="149" spans="1:9" ht="15.75" thickBot="1" x14ac:dyDescent="0.25">
      <c r="A149" s="15" t="s">
        <v>107</v>
      </c>
      <c r="B149" s="16">
        <f>IF(ISBLANK(B146),"",IF(ISERROR(VLOOKUP(B146,BDEMPLEADOS,4,FALSE)),"",VLOOKUP(B146,BDEMPLEADOS,4,FALSE)))</f>
        <v>620000</v>
      </c>
      <c r="C149" s="17" t="s">
        <v>113</v>
      </c>
      <c r="D149" s="67">
        <f>IF(ISBLANK(B146),"",IF(ISERROR(VLOOKUP(B146,NOMINA,20,FALSE)),"",VLOOKUP(B146,NOMINA,20,FALSE)))</f>
        <v>27800</v>
      </c>
      <c r="F149" s="15" t="s">
        <v>107</v>
      </c>
      <c r="G149" s="16">
        <f>IF(ISBLANK(G146),"",IF(ISERROR(VLOOKUP(G146,BDEMPLEADOS,4,FALSE)),"",VLOOKUP(G146,BDEMPLEADOS,4,FALSE)))</f>
        <v>616000</v>
      </c>
      <c r="H149" s="17" t="s">
        <v>113</v>
      </c>
      <c r="I149" s="67">
        <f>IF(ISBLANK(G146),"",IF(ISERROR(VLOOKUP(G146,NOMINA,20,FALSE)),"",VLOOKUP(G146,NOMINA,20,FALSE)))</f>
        <v>27867.666666666664</v>
      </c>
    </row>
    <row r="150" spans="1:9" ht="15.75" thickBot="1" x14ac:dyDescent="0.25">
      <c r="A150" s="18" t="s">
        <v>108</v>
      </c>
      <c r="B150" s="16">
        <f>IF(ISBLANK(B146),"",IF(ISERROR(VLOOKUP(B146,NOMINA,15,FALSE)),"",VLOOKUP(B146,NOMINA,15,FALSE)))</f>
        <v>0</v>
      </c>
      <c r="C150" s="19" t="s">
        <v>114</v>
      </c>
      <c r="D150" s="67">
        <f>IF(ISBLANK(B146),"",IF(ISERROR(VLOOKUP(B146,NOMINA,21,FALSE)),"",VLOOKUP(B146,NOMINA,21,FALSE)))</f>
        <v>27800</v>
      </c>
      <c r="F150" s="18" t="s">
        <v>108</v>
      </c>
      <c r="G150" s="16">
        <f>IF(ISBLANK(G146),"",IF(ISERROR(VLOOKUP(G146,NOMINA,15,FALSE)),"",VLOOKUP(G146,NOMINA,15,FALSE)))</f>
        <v>50691.666666666657</v>
      </c>
      <c r="H150" s="19" t="s">
        <v>114</v>
      </c>
      <c r="I150" s="67">
        <f>IF(ISBLANK(G146),"",IF(ISERROR(VLOOKUP(G146,NOMINA,21,FALSE)),"",VLOOKUP(G146,NOMINA,21,FALSE)))</f>
        <v>27867.666666666664</v>
      </c>
    </row>
    <row r="151" spans="1:9" ht="15.75" thickBot="1" x14ac:dyDescent="0.25">
      <c r="A151" s="20" t="s">
        <v>109</v>
      </c>
      <c r="B151" s="16">
        <f>IF(ISBLANK(B146),"",IF(ISERROR(VLOOKUP(B146,NOMINA,16,FALSE)),"",VLOOKUP(B146,NOMINA,16,FALSE)))</f>
        <v>72000</v>
      </c>
      <c r="C151" s="19" t="s">
        <v>115</v>
      </c>
      <c r="D151" s="67" t="str">
        <f>IF(ISBLANK(B146),"",IF(ISERROR(VLOOKUP(B146,NOMINA,22,FALSE)),"",VLOOKUP(B146,NOMINA,22,FALSE)))</f>
        <v/>
      </c>
      <c r="F151" s="20" t="s">
        <v>109</v>
      </c>
      <c r="G151" s="16">
        <f>IF(ISBLANK(G146),"",IF(ISERROR(VLOOKUP(G146,NOMINA,16,FALSE)),"",VLOOKUP(G146,NOMINA,16,FALSE)))</f>
        <v>72000</v>
      </c>
      <c r="H151" s="19" t="s">
        <v>115</v>
      </c>
      <c r="I151" s="67" t="str">
        <f>IF(ISBLANK(G146),"",IF(ISERROR(VLOOKUP(G146,NOMINA,22,FALSE)),"",VLOOKUP(G146,NOMINA,22,FALSE)))</f>
        <v/>
      </c>
    </row>
    <row r="152" spans="1:9" ht="15.75" thickBot="1" x14ac:dyDescent="0.25">
      <c r="A152" s="18" t="s">
        <v>110</v>
      </c>
      <c r="B152" s="16">
        <f>IF(ISBLANK(B146),"",IF(ISERROR(VLOOKUP(B146,NOMINA,17,FALSE)),"",VLOOKUP(B146,NOMINA,17,FALSE)))</f>
        <v>44999.999999999993</v>
      </c>
      <c r="C152" s="19" t="s">
        <v>116</v>
      </c>
      <c r="D152" s="67">
        <f>IF(ISBLANK(B146),"",IF(ISERROR(VLOOKUP(B146,NOMINA,23,FALSE)),"",VLOOKUP(B146,NOMINA,23,FALSE)))</f>
        <v>69500</v>
      </c>
      <c r="F152" s="18" t="s">
        <v>110</v>
      </c>
      <c r="G152" s="16">
        <f>IF(ISBLANK(G146),"",IF(ISERROR(VLOOKUP(G146,NOMINA,17,FALSE)),"",VLOOKUP(G146,NOMINA,17,FALSE)))</f>
        <v>0</v>
      </c>
      <c r="H152" s="19" t="s">
        <v>116</v>
      </c>
      <c r="I152" s="67">
        <f>IF(ISBLANK(G146),"",IF(ISERROR(VLOOKUP(G146,NOMINA,23,FALSE)),"",VLOOKUP(G146,NOMINA,23,FALSE)))</f>
        <v>69669.166666666672</v>
      </c>
    </row>
    <row r="153" spans="1:9" ht="15.75" thickBot="1" x14ac:dyDescent="0.25">
      <c r="A153" s="18" t="s">
        <v>111</v>
      </c>
      <c r="B153" s="16">
        <f>IF(ISBLANK(B146),"",IF(ISERROR(VLOOKUP(B146,NOMINA,18,FALSE)),"",VLOOKUP(B146,NOMINA,18,FALSE)))</f>
        <v>30000</v>
      </c>
      <c r="C153" s="21" t="s">
        <v>117</v>
      </c>
      <c r="D153" s="73">
        <f>IF(ISBLANK(B146),"",IF(ISERROR(VLOOKUP(B146,NOMINA,24,FALSE)),"",VLOOKUP(B146,NOMINA,24,FALSE)))</f>
        <v>3100</v>
      </c>
      <c r="F153" s="18" t="s">
        <v>111</v>
      </c>
      <c r="G153" s="16">
        <f>IF(ISBLANK(G146),"",IF(ISERROR(VLOOKUP(G146,NOMINA,18,FALSE)),"",VLOOKUP(G146,NOMINA,18,FALSE)))</f>
        <v>30000</v>
      </c>
      <c r="H153" s="21" t="s">
        <v>117</v>
      </c>
      <c r="I153" s="73">
        <f>IF(ISBLANK(G146),"",IF(ISERROR(VLOOKUP(G146,NOMINA,24,FALSE)),"",VLOOKUP(G146,NOMINA,24,FALSE)))</f>
        <v>3080</v>
      </c>
    </row>
    <row r="154" spans="1:9" ht="13.5" thickBot="1" x14ac:dyDescent="0.25">
      <c r="A154" s="22"/>
      <c r="B154" s="68"/>
      <c r="C154" s="23"/>
      <c r="D154" s="74"/>
      <c r="F154" s="22"/>
      <c r="G154" s="68"/>
      <c r="H154" s="23"/>
      <c r="I154" s="74"/>
    </row>
    <row r="155" spans="1:9" ht="15.75" thickBot="1" x14ac:dyDescent="0.25">
      <c r="A155" s="24" t="s">
        <v>112</v>
      </c>
      <c r="B155" s="16">
        <f>IF(ISBLANK(B146),"",IF(ISERROR(VLOOKUP(B146,NOMINA,19,FALSE)),"",VLOOKUP(B146,NOMINA,19,FALSE)))</f>
        <v>767000</v>
      </c>
      <c r="C155" s="25" t="s">
        <v>118</v>
      </c>
      <c r="D155" s="67">
        <f>IF(ISBLANK(B146),"",IF(ISERROR(VLOOKUP(B146,NOMINA,25,FALSE)),"",VLOOKUP(B146,NOMINA,25,FALSE)))</f>
        <v>128200</v>
      </c>
      <c r="F155" s="24" t="s">
        <v>112</v>
      </c>
      <c r="G155" s="16">
        <f>IF(ISBLANK(G146),"",IF(ISERROR(VLOOKUP(G146,NOMINA,19,FALSE)),"",VLOOKUP(G146,NOMINA,19,FALSE)))</f>
        <v>768691.66666666663</v>
      </c>
      <c r="H155" s="25" t="s">
        <v>118</v>
      </c>
      <c r="I155" s="67">
        <f>IF(ISBLANK(G146),"",IF(ISERROR(VLOOKUP(G146,NOMINA,25,FALSE)),"",VLOOKUP(G146,NOMINA,25,FALSE)))</f>
        <v>128484.5</v>
      </c>
    </row>
    <row r="156" spans="1:9" x14ac:dyDescent="0.2">
      <c r="A156" s="22"/>
      <c r="B156" s="69"/>
      <c r="C156" s="23"/>
      <c r="D156" s="74"/>
      <c r="F156" s="22"/>
      <c r="G156" s="69"/>
      <c r="H156" s="23"/>
      <c r="I156" s="74"/>
    </row>
    <row r="157" spans="1:9" ht="13.5" thickBot="1" x14ac:dyDescent="0.25">
      <c r="A157" s="26"/>
      <c r="B157" s="70"/>
      <c r="C157" s="27"/>
      <c r="D157" s="75"/>
      <c r="F157" s="26"/>
      <c r="G157" s="70"/>
      <c r="H157" s="27"/>
      <c r="I157" s="75"/>
    </row>
    <row r="158" spans="1:9" ht="18.75" thickBot="1" x14ac:dyDescent="0.3">
      <c r="B158" s="71"/>
      <c r="C158" s="28" t="s">
        <v>119</v>
      </c>
      <c r="D158" s="76">
        <f>IF(ISBLANK(B146),"",IF(ISERROR(VLOOKUP(B146,NOMINA,26,FALSE)),"",VLOOKUP(B146,NOMINA,26,FALSE)))</f>
        <v>638800</v>
      </c>
      <c r="G158" s="71"/>
      <c r="H158" s="28" t="s">
        <v>119</v>
      </c>
      <c r="I158" s="76">
        <f>IF(ISBLANK(G146),"",IF(ISERROR(VLOOKUP(G146,NOMINA,26,FALSE)),"",VLOOKUP(G146,NOMINA,26,FALSE)))</f>
        <v>640207.16666666663</v>
      </c>
    </row>
    <row r="160" spans="1:9" ht="13.5" thickBot="1" x14ac:dyDescent="0.25"/>
    <row r="161" spans="1:9" x14ac:dyDescent="0.2">
      <c r="A161" s="181"/>
      <c r="B161" s="182"/>
      <c r="C161" s="182"/>
      <c r="D161" s="183"/>
      <c r="F161" s="181"/>
      <c r="G161" s="182"/>
      <c r="H161" s="182"/>
      <c r="I161" s="183"/>
    </row>
    <row r="162" spans="1:9" ht="18" x14ac:dyDescent="0.25">
      <c r="A162" s="184" t="s">
        <v>152</v>
      </c>
      <c r="B162" s="185"/>
      <c r="C162" s="185"/>
      <c r="D162" s="186"/>
      <c r="F162" s="184" t="s">
        <v>152</v>
      </c>
      <c r="G162" s="185"/>
      <c r="H162" s="185"/>
      <c r="I162" s="186"/>
    </row>
    <row r="163" spans="1:9" ht="18" x14ac:dyDescent="0.25">
      <c r="A163" s="187" t="s">
        <v>153</v>
      </c>
      <c r="B163" s="188"/>
      <c r="C163" s="188"/>
      <c r="D163" s="189"/>
      <c r="F163" s="187" t="s">
        <v>153</v>
      </c>
      <c r="G163" s="188"/>
      <c r="H163" s="188"/>
      <c r="I163" s="189"/>
    </row>
    <row r="164" spans="1:9" ht="15" x14ac:dyDescent="0.2">
      <c r="A164" s="172" t="s">
        <v>165</v>
      </c>
      <c r="B164" s="173"/>
      <c r="C164" s="173"/>
      <c r="D164" s="174"/>
      <c r="F164" s="172" t="s">
        <v>165</v>
      </c>
      <c r="G164" s="173"/>
      <c r="H164" s="173"/>
      <c r="I164" s="174"/>
    </row>
    <row r="165" spans="1:9" ht="13.5" thickBot="1" x14ac:dyDescent="0.25">
      <c r="A165" s="175"/>
      <c r="B165" s="176"/>
      <c r="C165" s="176"/>
      <c r="D165" s="177"/>
      <c r="F165" s="175"/>
      <c r="G165" s="176"/>
      <c r="H165" s="176"/>
      <c r="I165" s="177"/>
    </row>
    <row r="166" spans="1:9" ht="15.75" thickBot="1" x14ac:dyDescent="0.25">
      <c r="A166" s="13" t="s">
        <v>154</v>
      </c>
      <c r="B166" s="178" t="s">
        <v>138</v>
      </c>
      <c r="C166" s="179"/>
      <c r="D166" s="180"/>
      <c r="F166" s="13" t="s">
        <v>154</v>
      </c>
      <c r="G166" s="178" t="s">
        <v>139</v>
      </c>
      <c r="H166" s="179"/>
      <c r="I166" s="180"/>
    </row>
    <row r="167" spans="1:9" ht="15.75" thickBot="1" x14ac:dyDescent="0.25">
      <c r="A167" s="14" t="s">
        <v>120</v>
      </c>
      <c r="B167" s="166" t="str">
        <f>IF(ISBLANK(B166),"",IF(ISERROR(VLOOKUP(B166,BDEMPLEADOS,2,FALSE)),"NOEXISTE",VLOOKUP(B166,BDEMPLEADOS,2,FALSE)))</f>
        <v>Leidy Rosalía Galvis</v>
      </c>
      <c r="C167" s="167"/>
      <c r="D167" s="168"/>
      <c r="F167" s="14" t="s">
        <v>120</v>
      </c>
      <c r="G167" s="166" t="str">
        <f>IF(ISBLANK(G166),"",IF(ISERROR(VLOOKUP(G166,BDEMPLEADOS,2,FALSE)),"NOEXISTE",VLOOKUP(G166,BDEMPLEADOS,2,FALSE)))</f>
        <v>Luis Fernando Vanegas</v>
      </c>
      <c r="H167" s="167"/>
      <c r="I167" s="168"/>
    </row>
    <row r="168" spans="1:9" ht="15.75" thickBot="1" x14ac:dyDescent="0.25">
      <c r="A168" s="169"/>
      <c r="B168" s="170"/>
      <c r="C168" s="170"/>
      <c r="D168" s="171"/>
      <c r="F168" s="169"/>
      <c r="G168" s="170"/>
      <c r="H168" s="170"/>
      <c r="I168" s="171"/>
    </row>
    <row r="169" spans="1:9" ht="15.75" thickBot="1" x14ac:dyDescent="0.25">
      <c r="A169" s="15" t="s">
        <v>107</v>
      </c>
      <c r="B169" s="16">
        <f>IF(ISBLANK(B166),"",IF(ISERROR(VLOOKUP(B166,BDEMPLEADOS,4,FALSE)),"",VLOOKUP(B166,BDEMPLEADOS,4,FALSE)))</f>
        <v>900000</v>
      </c>
      <c r="C169" s="17" t="s">
        <v>113</v>
      </c>
      <c r="D169" s="67">
        <f>IF(ISBLANK(B166),"",IF(ISERROR(VLOOKUP(B166,NOMINA,20,FALSE)),"",VLOOKUP(B166,NOMINA,20,FALSE)))</f>
        <v>37200</v>
      </c>
      <c r="F169" s="15" t="s">
        <v>107</v>
      </c>
      <c r="G169" s="16">
        <f>IF(ISBLANK(G166),"",IF(ISERROR(VLOOKUP(G166,BDEMPLEADOS,4,FALSE)),"",VLOOKUP(G166,BDEMPLEADOS,4,FALSE)))</f>
        <v>700000</v>
      </c>
      <c r="H169" s="17" t="s">
        <v>113</v>
      </c>
      <c r="I169" s="67">
        <f>IF(ISBLANK(G166),"",IF(ISERROR(VLOOKUP(G166,NOMINA,20,FALSE)),"",VLOOKUP(G166,NOMINA,20,FALSE)))</f>
        <v>29200</v>
      </c>
    </row>
    <row r="170" spans="1:9" ht="15.75" thickBot="1" x14ac:dyDescent="0.25">
      <c r="A170" s="18" t="s">
        <v>108</v>
      </c>
      <c r="B170" s="16">
        <f>IF(ISBLANK(B166),"",IF(ISERROR(VLOOKUP(B166,NOMINA,15,FALSE)),"",VLOOKUP(B166,NOMINA,15,FALSE)))</f>
        <v>0</v>
      </c>
      <c r="C170" s="19" t="s">
        <v>114</v>
      </c>
      <c r="D170" s="67">
        <f>IF(ISBLANK(B166),"",IF(ISERROR(VLOOKUP(B166,NOMINA,21,FALSE)),"",VLOOKUP(B166,NOMINA,21,FALSE)))</f>
        <v>37200</v>
      </c>
      <c r="F170" s="18" t="s">
        <v>108</v>
      </c>
      <c r="G170" s="16">
        <f>IF(ISBLANK(G166),"",IF(ISERROR(VLOOKUP(G166,NOMINA,15,FALSE)),"",VLOOKUP(G166,NOMINA,15,FALSE)))</f>
        <v>0</v>
      </c>
      <c r="H170" s="19" t="s">
        <v>114</v>
      </c>
      <c r="I170" s="67">
        <f>IF(ISBLANK(G166),"",IF(ISERROR(VLOOKUP(G166,NOMINA,21,FALSE)),"",VLOOKUP(G166,NOMINA,21,FALSE)))</f>
        <v>29200</v>
      </c>
    </row>
    <row r="171" spans="1:9" ht="15.75" thickBot="1" x14ac:dyDescent="0.25">
      <c r="A171" s="20" t="s">
        <v>109</v>
      </c>
      <c r="B171" s="16">
        <f>IF(ISBLANK(B166),"",IF(ISERROR(VLOOKUP(B166,NOMINA,16,FALSE)),"",VLOOKUP(B166,NOMINA,16,FALSE)))</f>
        <v>72000</v>
      </c>
      <c r="C171" s="19" t="s">
        <v>115</v>
      </c>
      <c r="D171" s="67" t="str">
        <f>IF(ISBLANK(B166),"",IF(ISERROR(VLOOKUP(B166,NOMINA,22,FALSE)),"",VLOOKUP(B166,NOMINA,22,FALSE)))</f>
        <v/>
      </c>
      <c r="F171" s="20" t="s">
        <v>109</v>
      </c>
      <c r="G171" s="16">
        <f>IF(ISBLANK(G166),"",IF(ISERROR(VLOOKUP(G166,NOMINA,16,FALSE)),"",VLOOKUP(G166,NOMINA,16,FALSE)))</f>
        <v>72000</v>
      </c>
      <c r="H171" s="19" t="s">
        <v>115</v>
      </c>
      <c r="I171" s="67" t="str">
        <f>IF(ISBLANK(G166),"",IF(ISERROR(VLOOKUP(G166,NOMINA,22,FALSE)),"",VLOOKUP(G166,NOMINA,22,FALSE)))</f>
        <v/>
      </c>
    </row>
    <row r="172" spans="1:9" ht="15.75" thickBot="1" x14ac:dyDescent="0.25">
      <c r="A172" s="18" t="s">
        <v>110</v>
      </c>
      <c r="B172" s="16">
        <f>IF(ISBLANK(B166),"",IF(ISERROR(VLOOKUP(B166,NOMINA,17,FALSE)),"",VLOOKUP(B166,NOMINA,17,FALSE)))</f>
        <v>0</v>
      </c>
      <c r="C172" s="19" t="s">
        <v>116</v>
      </c>
      <c r="D172" s="67">
        <f>IF(ISBLANK(B166),"",IF(ISERROR(VLOOKUP(B166,NOMINA,23,FALSE)),"",VLOOKUP(B166,NOMINA,23,FALSE)))</f>
        <v>93000</v>
      </c>
      <c r="F172" s="18" t="s">
        <v>110</v>
      </c>
      <c r="G172" s="16">
        <f>IF(ISBLANK(G166),"",IF(ISERROR(VLOOKUP(G166,NOMINA,17,FALSE)),"",VLOOKUP(G166,NOMINA,17,FALSE)))</f>
        <v>0</v>
      </c>
      <c r="H172" s="19" t="s">
        <v>116</v>
      </c>
      <c r="I172" s="67">
        <f>IF(ISBLANK(G166),"",IF(ISERROR(VLOOKUP(G166,NOMINA,23,FALSE)),"",VLOOKUP(G166,NOMINA,23,FALSE)))</f>
        <v>73000</v>
      </c>
    </row>
    <row r="173" spans="1:9" ht="15.75" thickBot="1" x14ac:dyDescent="0.25">
      <c r="A173" s="18" t="s">
        <v>111</v>
      </c>
      <c r="B173" s="16">
        <f>IF(ISBLANK(B166),"",IF(ISERROR(VLOOKUP(B166,NOMINA,18,FALSE)),"",VLOOKUP(B166,NOMINA,18,FALSE)))</f>
        <v>30000</v>
      </c>
      <c r="C173" s="21" t="s">
        <v>117</v>
      </c>
      <c r="D173" s="73">
        <f>IF(ISBLANK(B166),"",IF(ISERROR(VLOOKUP(B166,NOMINA,24,FALSE)),"",VLOOKUP(B166,NOMINA,24,FALSE)))</f>
        <v>9000</v>
      </c>
      <c r="F173" s="18" t="s">
        <v>111</v>
      </c>
      <c r="G173" s="16">
        <f>IF(ISBLANK(G166),"",IF(ISERROR(VLOOKUP(G166,NOMINA,18,FALSE)),"",VLOOKUP(G166,NOMINA,18,FALSE)))</f>
        <v>30000</v>
      </c>
      <c r="H173" s="21" t="s">
        <v>117</v>
      </c>
      <c r="I173" s="73">
        <f>IF(ISBLANK(G166),"",IF(ISERROR(VLOOKUP(G166,NOMINA,24,FALSE)),"",VLOOKUP(G166,NOMINA,24,FALSE)))</f>
        <v>7000</v>
      </c>
    </row>
    <row r="174" spans="1:9" ht="13.5" thickBot="1" x14ac:dyDescent="0.25">
      <c r="A174" s="22"/>
      <c r="B174" s="68"/>
      <c r="C174" s="23"/>
      <c r="D174" s="74"/>
      <c r="F174" s="22"/>
      <c r="G174" s="68"/>
      <c r="H174" s="23"/>
      <c r="I174" s="74"/>
    </row>
    <row r="175" spans="1:9" ht="15.75" thickBot="1" x14ac:dyDescent="0.25">
      <c r="A175" s="24" t="s">
        <v>112</v>
      </c>
      <c r="B175" s="16">
        <f>IF(ISBLANK(B166),"",IF(ISERROR(VLOOKUP(B166,NOMINA,19,FALSE)),"",VLOOKUP(B166,NOMINA,19,FALSE)))</f>
        <v>1002000</v>
      </c>
      <c r="C175" s="25" t="s">
        <v>118</v>
      </c>
      <c r="D175" s="67">
        <f>IF(ISBLANK(B166),"",IF(ISERROR(VLOOKUP(B166,NOMINA,25,FALSE)),"",VLOOKUP(B166,NOMINA,25,FALSE)))</f>
        <v>176400</v>
      </c>
      <c r="F175" s="24" t="s">
        <v>112</v>
      </c>
      <c r="G175" s="16">
        <f>IF(ISBLANK(G166),"",IF(ISERROR(VLOOKUP(G166,NOMINA,19,FALSE)),"",VLOOKUP(G166,NOMINA,19,FALSE)))</f>
        <v>802000</v>
      </c>
      <c r="H175" s="25" t="s">
        <v>118</v>
      </c>
      <c r="I175" s="67">
        <f>IF(ISBLANK(G166),"",IF(ISERROR(VLOOKUP(G166,NOMINA,25,FALSE)),"",VLOOKUP(G166,NOMINA,25,FALSE)))</f>
        <v>138400</v>
      </c>
    </row>
    <row r="176" spans="1:9" x14ac:dyDescent="0.2">
      <c r="A176" s="22"/>
      <c r="B176" s="69"/>
      <c r="C176" s="23"/>
      <c r="D176" s="74"/>
      <c r="F176" s="22"/>
      <c r="G176" s="69"/>
      <c r="H176" s="23"/>
      <c r="I176" s="74"/>
    </row>
    <row r="177" spans="1:9" ht="13.5" thickBot="1" x14ac:dyDescent="0.25">
      <c r="A177" s="26"/>
      <c r="B177" s="70"/>
      <c r="C177" s="27"/>
      <c r="D177" s="75"/>
      <c r="F177" s="26"/>
      <c r="G177" s="70"/>
      <c r="H177" s="27"/>
      <c r="I177" s="75"/>
    </row>
    <row r="178" spans="1:9" ht="18.75" thickBot="1" x14ac:dyDescent="0.3">
      <c r="B178" s="71"/>
      <c r="C178" s="28" t="s">
        <v>119</v>
      </c>
      <c r="D178" s="76">
        <f>IF(ISBLANK(B166),"",IF(ISERROR(VLOOKUP(B166,NOMINA,26,FALSE)),"",VLOOKUP(B166,NOMINA,26,FALSE)))</f>
        <v>825600</v>
      </c>
      <c r="G178" s="71"/>
      <c r="H178" s="28" t="s">
        <v>119</v>
      </c>
      <c r="I178" s="76">
        <f>IF(ISBLANK(G166),"",IF(ISERROR(VLOOKUP(G166,NOMINA,26,FALSE)),"",VLOOKUP(G166,NOMINA,26,FALSE)))</f>
        <v>663600</v>
      </c>
    </row>
    <row r="180" spans="1:9" ht="13.5" thickBot="1" x14ac:dyDescent="0.25"/>
    <row r="181" spans="1:9" x14ac:dyDescent="0.2">
      <c r="A181" s="181"/>
      <c r="B181" s="182"/>
      <c r="C181" s="182"/>
      <c r="D181" s="183"/>
      <c r="F181" s="181"/>
      <c r="G181" s="182"/>
      <c r="H181" s="182"/>
      <c r="I181" s="183"/>
    </row>
    <row r="182" spans="1:9" ht="18" x14ac:dyDescent="0.25">
      <c r="A182" s="184" t="s">
        <v>152</v>
      </c>
      <c r="B182" s="185"/>
      <c r="C182" s="185"/>
      <c r="D182" s="186"/>
      <c r="F182" s="184" t="s">
        <v>152</v>
      </c>
      <c r="G182" s="185"/>
      <c r="H182" s="185"/>
      <c r="I182" s="186"/>
    </row>
    <row r="183" spans="1:9" ht="18" x14ac:dyDescent="0.25">
      <c r="A183" s="187" t="s">
        <v>153</v>
      </c>
      <c r="B183" s="188"/>
      <c r="C183" s="188"/>
      <c r="D183" s="189"/>
      <c r="F183" s="187" t="s">
        <v>153</v>
      </c>
      <c r="G183" s="188"/>
      <c r="H183" s="188"/>
      <c r="I183" s="189"/>
    </row>
    <row r="184" spans="1:9" ht="15" x14ac:dyDescent="0.2">
      <c r="A184" s="172" t="s">
        <v>165</v>
      </c>
      <c r="B184" s="173"/>
      <c r="C184" s="173"/>
      <c r="D184" s="174"/>
      <c r="F184" s="172" t="s">
        <v>165</v>
      </c>
      <c r="G184" s="173"/>
      <c r="H184" s="173"/>
      <c r="I184" s="174"/>
    </row>
    <row r="185" spans="1:9" ht="13.5" thickBot="1" x14ac:dyDescent="0.25">
      <c r="A185" s="175"/>
      <c r="B185" s="176"/>
      <c r="C185" s="176"/>
      <c r="D185" s="177"/>
      <c r="F185" s="175"/>
      <c r="G185" s="176"/>
      <c r="H185" s="176"/>
      <c r="I185" s="177"/>
    </row>
    <row r="186" spans="1:9" ht="15.75" thickBot="1" x14ac:dyDescent="0.25">
      <c r="A186" s="13" t="s">
        <v>154</v>
      </c>
      <c r="B186" s="178" t="s">
        <v>140</v>
      </c>
      <c r="C186" s="179"/>
      <c r="D186" s="180"/>
      <c r="F186" s="13" t="s">
        <v>154</v>
      </c>
      <c r="G186" s="178" t="s">
        <v>141</v>
      </c>
      <c r="H186" s="179"/>
      <c r="I186" s="180"/>
    </row>
    <row r="187" spans="1:9" ht="15.75" thickBot="1" x14ac:dyDescent="0.25">
      <c r="A187" s="14" t="s">
        <v>120</v>
      </c>
      <c r="B187" s="166" t="str">
        <f>IF(ISBLANK(B186),"",IF(ISERROR(VLOOKUP(B186,BDEMPLEADOS,2,FALSE)),"NOEXISTE",VLOOKUP(B186,BDEMPLEADOS,2,FALSE)))</f>
        <v>Liliana Ríos</v>
      </c>
      <c r="C187" s="167"/>
      <c r="D187" s="168"/>
      <c r="F187" s="14" t="s">
        <v>120</v>
      </c>
      <c r="G187" s="166" t="str">
        <f>IF(ISBLANK(G186),"",IF(ISERROR(VLOOKUP(G186,BDEMPLEADOS,2,FALSE)),"NOEXISTE",VLOOKUP(G186,BDEMPLEADOS,2,FALSE)))</f>
        <v>Luz Enith Betancur</v>
      </c>
      <c r="H187" s="167"/>
      <c r="I187" s="168"/>
    </row>
    <row r="188" spans="1:9" ht="15.75" thickBot="1" x14ac:dyDescent="0.25">
      <c r="A188" s="169"/>
      <c r="B188" s="170"/>
      <c r="C188" s="170"/>
      <c r="D188" s="171"/>
      <c r="F188" s="169"/>
      <c r="G188" s="170"/>
      <c r="H188" s="170"/>
      <c r="I188" s="171"/>
    </row>
    <row r="189" spans="1:9" ht="15.75" thickBot="1" x14ac:dyDescent="0.25">
      <c r="A189" s="15" t="s">
        <v>107</v>
      </c>
      <c r="B189" s="16">
        <f>IF(ISBLANK(B186),"",IF(ISERROR(VLOOKUP(B186,BDEMPLEADOS,4,FALSE)),"",VLOOKUP(B186,BDEMPLEADOS,4,FALSE)))</f>
        <v>620000</v>
      </c>
      <c r="C189" s="17" t="s">
        <v>113</v>
      </c>
      <c r="D189" s="67">
        <f>IF(ISBLANK(B186),"",IF(ISERROR(VLOOKUP(B186,NOMINA,20,FALSE)),"",VLOOKUP(B186,NOMINA,20,FALSE)))</f>
        <v>27800</v>
      </c>
      <c r="F189" s="15" t="s">
        <v>107</v>
      </c>
      <c r="G189" s="16">
        <f>IF(ISBLANK(G186),"",IF(ISERROR(VLOOKUP(G186,BDEMPLEADOS,4,FALSE)),"",VLOOKUP(G186,BDEMPLEADOS,4,FALSE)))</f>
        <v>900000</v>
      </c>
      <c r="H189" s="17" t="s">
        <v>113</v>
      </c>
      <c r="I189" s="67">
        <f>IF(ISBLANK(G186),"",IF(ISERROR(VLOOKUP(G186,NOMINA,20,FALSE)),"",VLOOKUP(G186,NOMINA,20,FALSE)))</f>
        <v>37200</v>
      </c>
    </row>
    <row r="190" spans="1:9" ht="15.75" thickBot="1" x14ac:dyDescent="0.25">
      <c r="A190" s="18" t="s">
        <v>108</v>
      </c>
      <c r="B190" s="16">
        <f>IF(ISBLANK(B186),"",IF(ISERROR(VLOOKUP(B186,NOMINA,15,FALSE)),"",VLOOKUP(B186,NOMINA,15,FALSE)))</f>
        <v>0</v>
      </c>
      <c r="C190" s="19" t="s">
        <v>114</v>
      </c>
      <c r="D190" s="67">
        <f>IF(ISBLANK(B186),"",IF(ISERROR(VLOOKUP(B186,NOMINA,21,FALSE)),"",VLOOKUP(B186,NOMINA,21,FALSE)))</f>
        <v>27800</v>
      </c>
      <c r="F190" s="18" t="s">
        <v>108</v>
      </c>
      <c r="G190" s="16">
        <f>IF(ISBLANK(G186),"",IF(ISERROR(VLOOKUP(G186,NOMINA,15,FALSE)),"",VLOOKUP(G186,NOMINA,15,FALSE)))</f>
        <v>0</v>
      </c>
      <c r="H190" s="19" t="s">
        <v>114</v>
      </c>
      <c r="I190" s="67">
        <f>IF(ISBLANK(G186),"",IF(ISERROR(VLOOKUP(G186,NOMINA,21,FALSE)),"",VLOOKUP(G186,NOMINA,21,FALSE)))</f>
        <v>37200</v>
      </c>
    </row>
    <row r="191" spans="1:9" ht="15.75" thickBot="1" x14ac:dyDescent="0.25">
      <c r="A191" s="20" t="s">
        <v>109</v>
      </c>
      <c r="B191" s="16">
        <f>IF(ISBLANK(B186),"",IF(ISERROR(VLOOKUP(B186,NOMINA,16,FALSE)),"",VLOOKUP(B186,NOMINA,16,FALSE)))</f>
        <v>72000</v>
      </c>
      <c r="C191" s="19" t="s">
        <v>115</v>
      </c>
      <c r="D191" s="67" t="str">
        <f>IF(ISBLANK(B186),"",IF(ISERROR(VLOOKUP(B186,NOMINA,22,FALSE)),"",VLOOKUP(B186,NOMINA,22,FALSE)))</f>
        <v/>
      </c>
      <c r="F191" s="20" t="s">
        <v>109</v>
      </c>
      <c r="G191" s="16">
        <f>IF(ISBLANK(G186),"",IF(ISERROR(VLOOKUP(G186,NOMINA,16,FALSE)),"",VLOOKUP(G186,NOMINA,16,FALSE)))</f>
        <v>72000</v>
      </c>
      <c r="H191" s="19" t="s">
        <v>115</v>
      </c>
      <c r="I191" s="67" t="str">
        <f>IF(ISBLANK(G186),"",IF(ISERROR(VLOOKUP(G186,NOMINA,22,FALSE)),"",VLOOKUP(G186,NOMINA,22,FALSE)))</f>
        <v/>
      </c>
    </row>
    <row r="192" spans="1:9" ht="15.75" thickBot="1" x14ac:dyDescent="0.25">
      <c r="A192" s="18" t="s">
        <v>110</v>
      </c>
      <c r="B192" s="16">
        <f>IF(ISBLANK(B186),"",IF(ISERROR(VLOOKUP(B186,NOMINA,17,FALSE)),"",VLOOKUP(B186,NOMINA,17,FALSE)))</f>
        <v>44999.999999999993</v>
      </c>
      <c r="C192" s="19" t="s">
        <v>116</v>
      </c>
      <c r="D192" s="67">
        <f>IF(ISBLANK(B186),"",IF(ISERROR(VLOOKUP(B186,NOMINA,23,FALSE)),"",VLOOKUP(B186,NOMINA,23,FALSE)))</f>
        <v>69500</v>
      </c>
      <c r="F192" s="18" t="s">
        <v>110</v>
      </c>
      <c r="G192" s="16">
        <f>IF(ISBLANK(G186),"",IF(ISERROR(VLOOKUP(G186,NOMINA,17,FALSE)),"",VLOOKUP(G186,NOMINA,17,FALSE)))</f>
        <v>0</v>
      </c>
      <c r="H192" s="19" t="s">
        <v>116</v>
      </c>
      <c r="I192" s="67">
        <f>IF(ISBLANK(G186),"",IF(ISERROR(VLOOKUP(G186,NOMINA,23,FALSE)),"",VLOOKUP(G186,NOMINA,23,FALSE)))</f>
        <v>93000</v>
      </c>
    </row>
    <row r="193" spans="1:9" ht="15.75" thickBot="1" x14ac:dyDescent="0.25">
      <c r="A193" s="18" t="s">
        <v>111</v>
      </c>
      <c r="B193" s="16">
        <f>IF(ISBLANK(B186),"",IF(ISERROR(VLOOKUP(B186,NOMINA,18,FALSE)),"",VLOOKUP(B186,NOMINA,18,FALSE)))</f>
        <v>30000</v>
      </c>
      <c r="C193" s="21" t="s">
        <v>117</v>
      </c>
      <c r="D193" s="73">
        <f>IF(ISBLANK(B186),"",IF(ISERROR(VLOOKUP(B186,NOMINA,24,FALSE)),"",VLOOKUP(B186,NOMINA,24,FALSE)))</f>
        <v>3100</v>
      </c>
      <c r="F193" s="18" t="s">
        <v>111</v>
      </c>
      <c r="G193" s="16">
        <f>IF(ISBLANK(G186),"",IF(ISERROR(VLOOKUP(G186,NOMINA,18,FALSE)),"",VLOOKUP(G186,NOMINA,18,FALSE)))</f>
        <v>30000</v>
      </c>
      <c r="H193" s="21" t="s">
        <v>117</v>
      </c>
      <c r="I193" s="73">
        <f>IF(ISBLANK(G186),"",IF(ISERROR(VLOOKUP(G186,NOMINA,24,FALSE)),"",VLOOKUP(G186,NOMINA,24,FALSE)))</f>
        <v>9000</v>
      </c>
    </row>
    <row r="194" spans="1:9" ht="13.5" thickBot="1" x14ac:dyDescent="0.25">
      <c r="A194" s="22"/>
      <c r="B194" s="68"/>
      <c r="C194" s="23"/>
      <c r="D194" s="74"/>
      <c r="F194" s="22"/>
      <c r="G194" s="68"/>
      <c r="H194" s="23"/>
      <c r="I194" s="74"/>
    </row>
    <row r="195" spans="1:9" ht="15.75" thickBot="1" x14ac:dyDescent="0.25">
      <c r="A195" s="24" t="s">
        <v>112</v>
      </c>
      <c r="B195" s="16">
        <f>IF(ISBLANK(B186),"",IF(ISERROR(VLOOKUP(B186,NOMINA,19,FALSE)),"",VLOOKUP(B186,NOMINA,19,FALSE)))</f>
        <v>767000</v>
      </c>
      <c r="C195" s="25" t="s">
        <v>118</v>
      </c>
      <c r="D195" s="67">
        <f>IF(ISBLANK(B186),"",IF(ISERROR(VLOOKUP(B186,NOMINA,25,FALSE)),"",VLOOKUP(B186,NOMINA,25,FALSE)))</f>
        <v>128200</v>
      </c>
      <c r="F195" s="24" t="s">
        <v>112</v>
      </c>
      <c r="G195" s="16">
        <f>IF(ISBLANK(G186),"",IF(ISERROR(VLOOKUP(G186,NOMINA,19,FALSE)),"",VLOOKUP(G186,NOMINA,19,FALSE)))</f>
        <v>1002000</v>
      </c>
      <c r="H195" s="25" t="s">
        <v>118</v>
      </c>
      <c r="I195" s="67">
        <f>IF(ISBLANK(G186),"",IF(ISERROR(VLOOKUP(G186,NOMINA,25,FALSE)),"",VLOOKUP(G186,NOMINA,25,FALSE)))</f>
        <v>176400</v>
      </c>
    </row>
    <row r="196" spans="1:9" x14ac:dyDescent="0.2">
      <c r="A196" s="22"/>
      <c r="B196" s="69"/>
      <c r="C196" s="23"/>
      <c r="D196" s="74"/>
      <c r="F196" s="22"/>
      <c r="G196" s="69"/>
      <c r="H196" s="23"/>
      <c r="I196" s="74"/>
    </row>
    <row r="197" spans="1:9" ht="13.5" thickBot="1" x14ac:dyDescent="0.25">
      <c r="A197" s="26"/>
      <c r="B197" s="70"/>
      <c r="C197" s="27"/>
      <c r="D197" s="75"/>
      <c r="F197" s="26"/>
      <c r="G197" s="70"/>
      <c r="H197" s="27"/>
      <c r="I197" s="75"/>
    </row>
    <row r="198" spans="1:9" ht="18.75" thickBot="1" x14ac:dyDescent="0.3">
      <c r="B198" s="71"/>
      <c r="C198" s="28" t="s">
        <v>119</v>
      </c>
      <c r="D198" s="76">
        <f>IF(ISBLANK(B186),"",IF(ISERROR(VLOOKUP(B186,NOMINA,26,FALSE)),"",VLOOKUP(B186,NOMINA,26,FALSE)))</f>
        <v>638800</v>
      </c>
      <c r="G198" s="71"/>
      <c r="H198" s="28" t="s">
        <v>119</v>
      </c>
      <c r="I198" s="76">
        <f>IF(ISBLANK(G186),"",IF(ISERROR(VLOOKUP(G186,NOMINA,26,FALSE)),"",VLOOKUP(G186,NOMINA,26,FALSE)))</f>
        <v>825600</v>
      </c>
    </row>
    <row r="200" spans="1:9" ht="13.5" thickBot="1" x14ac:dyDescent="0.25"/>
    <row r="201" spans="1:9" x14ac:dyDescent="0.2">
      <c r="A201" s="181"/>
      <c r="B201" s="182"/>
      <c r="C201" s="182"/>
      <c r="D201" s="183"/>
      <c r="F201" s="181"/>
      <c r="G201" s="182"/>
      <c r="H201" s="182"/>
      <c r="I201" s="183"/>
    </row>
    <row r="202" spans="1:9" ht="18" x14ac:dyDescent="0.25">
      <c r="A202" s="184" t="s">
        <v>152</v>
      </c>
      <c r="B202" s="185"/>
      <c r="C202" s="185"/>
      <c r="D202" s="186"/>
      <c r="F202" s="184" t="s">
        <v>152</v>
      </c>
      <c r="G202" s="185"/>
      <c r="H202" s="185"/>
      <c r="I202" s="186"/>
    </row>
    <row r="203" spans="1:9" ht="18" x14ac:dyDescent="0.25">
      <c r="A203" s="187" t="s">
        <v>153</v>
      </c>
      <c r="B203" s="188"/>
      <c r="C203" s="188"/>
      <c r="D203" s="189"/>
      <c r="F203" s="187" t="s">
        <v>153</v>
      </c>
      <c r="G203" s="188"/>
      <c r="H203" s="188"/>
      <c r="I203" s="189"/>
    </row>
    <row r="204" spans="1:9" ht="15" x14ac:dyDescent="0.2">
      <c r="A204" s="172" t="s">
        <v>165</v>
      </c>
      <c r="B204" s="173"/>
      <c r="C204" s="173"/>
      <c r="D204" s="174"/>
      <c r="F204" s="172" t="s">
        <v>165</v>
      </c>
      <c r="G204" s="173"/>
      <c r="H204" s="173"/>
      <c r="I204" s="174"/>
    </row>
    <row r="205" spans="1:9" ht="13.5" thickBot="1" x14ac:dyDescent="0.25">
      <c r="A205" s="175"/>
      <c r="B205" s="176"/>
      <c r="C205" s="176"/>
      <c r="D205" s="177"/>
      <c r="F205" s="175"/>
      <c r="G205" s="176"/>
      <c r="H205" s="176"/>
      <c r="I205" s="177"/>
    </row>
    <row r="206" spans="1:9" ht="15.75" thickBot="1" x14ac:dyDescent="0.25">
      <c r="A206" s="13" t="s">
        <v>154</v>
      </c>
      <c r="B206" s="178" t="s">
        <v>142</v>
      </c>
      <c r="C206" s="179"/>
      <c r="D206" s="180"/>
      <c r="F206" s="13" t="s">
        <v>154</v>
      </c>
      <c r="G206" s="178" t="s">
        <v>143</v>
      </c>
      <c r="H206" s="179"/>
      <c r="I206" s="180"/>
    </row>
    <row r="207" spans="1:9" ht="15.75" thickBot="1" x14ac:dyDescent="0.25">
      <c r="A207" s="14" t="s">
        <v>120</v>
      </c>
      <c r="B207" s="166" t="str">
        <f>IF(ISBLANK(B206),"",IF(ISERROR(VLOOKUP(B206,BDEMPLEADOS,2,FALSE)),"NOEXISTE",VLOOKUP(B206,BDEMPLEADOS,2,FALSE)))</f>
        <v>Maricela López</v>
      </c>
      <c r="C207" s="167"/>
      <c r="D207" s="168"/>
      <c r="F207" s="14" t="s">
        <v>120</v>
      </c>
      <c r="G207" s="166" t="str">
        <f>IF(ISBLANK(G206),"",IF(ISERROR(VLOOKUP(G206,BDEMPLEADOS,2,FALSE)),"NOEXISTE",VLOOKUP(G206,BDEMPLEADOS,2,FALSE)))</f>
        <v>Martha Deisy Ceballos</v>
      </c>
      <c r="H207" s="167"/>
      <c r="I207" s="168"/>
    </row>
    <row r="208" spans="1:9" ht="15.75" thickBot="1" x14ac:dyDescent="0.25">
      <c r="A208" s="169"/>
      <c r="B208" s="170"/>
      <c r="C208" s="170"/>
      <c r="D208" s="171"/>
      <c r="F208" s="169"/>
      <c r="G208" s="170"/>
      <c r="H208" s="170"/>
      <c r="I208" s="171"/>
    </row>
    <row r="209" spans="1:9" ht="15.75" thickBot="1" x14ac:dyDescent="0.25">
      <c r="A209" s="15" t="s">
        <v>107</v>
      </c>
      <c r="B209" s="16">
        <f>IF(ISBLANK(B206),"",IF(ISERROR(VLOOKUP(B206,BDEMPLEADOS,4,FALSE)),"",VLOOKUP(B206,BDEMPLEADOS,4,FALSE)))</f>
        <v>616000</v>
      </c>
      <c r="C209" s="17" t="s">
        <v>113</v>
      </c>
      <c r="D209" s="67">
        <f>IF(ISBLANK(B206),"",IF(ISERROR(VLOOKUP(B206,NOMINA,20,FALSE)),"",VLOOKUP(B206,NOMINA,20,FALSE)))</f>
        <v>27867.666666666664</v>
      </c>
      <c r="F209" s="15" t="s">
        <v>107</v>
      </c>
      <c r="G209" s="16">
        <f>IF(ISBLANK(G206),"",IF(ISERROR(VLOOKUP(G206,BDEMPLEADOS,4,FALSE)),"",VLOOKUP(G206,BDEMPLEADOS,4,FALSE)))</f>
        <v>700000</v>
      </c>
      <c r="H209" s="17" t="s">
        <v>113</v>
      </c>
      <c r="I209" s="67">
        <f>IF(ISBLANK(G206),"",IF(ISERROR(VLOOKUP(G206,NOMINA,20,FALSE)),"",VLOOKUP(G206,NOMINA,20,FALSE)))</f>
        <v>29200</v>
      </c>
    </row>
    <row r="210" spans="1:9" ht="15.75" thickBot="1" x14ac:dyDescent="0.25">
      <c r="A210" s="18" t="s">
        <v>108</v>
      </c>
      <c r="B210" s="16">
        <f>IF(ISBLANK(B206),"",IF(ISERROR(VLOOKUP(B206,NOMINA,15,FALSE)),"",VLOOKUP(B206,NOMINA,15,FALSE)))</f>
        <v>50691.666666666657</v>
      </c>
      <c r="C210" s="19" t="s">
        <v>114</v>
      </c>
      <c r="D210" s="67">
        <f>IF(ISBLANK(B206),"",IF(ISERROR(VLOOKUP(B206,NOMINA,21,FALSE)),"",VLOOKUP(B206,NOMINA,21,FALSE)))</f>
        <v>27867.666666666664</v>
      </c>
      <c r="F210" s="18" t="s">
        <v>108</v>
      </c>
      <c r="G210" s="16">
        <f>IF(ISBLANK(G206),"",IF(ISERROR(VLOOKUP(G206,NOMINA,15,FALSE)),"",VLOOKUP(G206,NOMINA,15,FALSE)))</f>
        <v>0</v>
      </c>
      <c r="H210" s="19" t="s">
        <v>114</v>
      </c>
      <c r="I210" s="67">
        <f>IF(ISBLANK(G206),"",IF(ISERROR(VLOOKUP(G206,NOMINA,21,FALSE)),"",VLOOKUP(G206,NOMINA,21,FALSE)))</f>
        <v>29200</v>
      </c>
    </row>
    <row r="211" spans="1:9" ht="15.75" thickBot="1" x14ac:dyDescent="0.25">
      <c r="A211" s="20" t="s">
        <v>109</v>
      </c>
      <c r="B211" s="16">
        <f>IF(ISBLANK(B206),"",IF(ISERROR(VLOOKUP(B206,NOMINA,16,FALSE)),"",VLOOKUP(B206,NOMINA,16,FALSE)))</f>
        <v>72000</v>
      </c>
      <c r="C211" s="19" t="s">
        <v>115</v>
      </c>
      <c r="D211" s="67" t="str">
        <f>IF(ISBLANK(B206),"",IF(ISERROR(VLOOKUP(B206,NOMINA,22,FALSE)),"",VLOOKUP(B206,NOMINA,22,FALSE)))</f>
        <v/>
      </c>
      <c r="F211" s="20" t="s">
        <v>109</v>
      </c>
      <c r="G211" s="16">
        <f>IF(ISBLANK(G206),"",IF(ISERROR(VLOOKUP(G206,NOMINA,16,FALSE)),"",VLOOKUP(G206,NOMINA,16,FALSE)))</f>
        <v>72000</v>
      </c>
      <c r="H211" s="19" t="s">
        <v>115</v>
      </c>
      <c r="I211" s="67" t="str">
        <f>IF(ISBLANK(G206),"",IF(ISERROR(VLOOKUP(G206,NOMINA,22,FALSE)),"",VLOOKUP(G206,NOMINA,22,FALSE)))</f>
        <v/>
      </c>
    </row>
    <row r="212" spans="1:9" ht="15.75" thickBot="1" x14ac:dyDescent="0.25">
      <c r="A212" s="18" t="s">
        <v>110</v>
      </c>
      <c r="B212" s="16">
        <f>IF(ISBLANK(B206),"",IF(ISERROR(VLOOKUP(B206,NOMINA,17,FALSE)),"",VLOOKUP(B206,NOMINA,17,FALSE)))</f>
        <v>0</v>
      </c>
      <c r="C212" s="19" t="s">
        <v>116</v>
      </c>
      <c r="D212" s="67">
        <f>IF(ISBLANK(B206),"",IF(ISERROR(VLOOKUP(B206,NOMINA,23,FALSE)),"",VLOOKUP(B206,NOMINA,23,FALSE)))</f>
        <v>69669.166666666672</v>
      </c>
      <c r="F212" s="18" t="s">
        <v>110</v>
      </c>
      <c r="G212" s="16">
        <f>IF(ISBLANK(G206),"",IF(ISERROR(VLOOKUP(G206,NOMINA,17,FALSE)),"",VLOOKUP(G206,NOMINA,17,FALSE)))</f>
        <v>0</v>
      </c>
      <c r="H212" s="19" t="s">
        <v>116</v>
      </c>
      <c r="I212" s="67">
        <f>IF(ISBLANK(G206),"",IF(ISERROR(VLOOKUP(G206,NOMINA,23,FALSE)),"",VLOOKUP(G206,NOMINA,23,FALSE)))</f>
        <v>73000</v>
      </c>
    </row>
    <row r="213" spans="1:9" ht="15.75" thickBot="1" x14ac:dyDescent="0.25">
      <c r="A213" s="18" t="s">
        <v>111</v>
      </c>
      <c r="B213" s="16">
        <f>IF(ISBLANK(B206),"",IF(ISERROR(VLOOKUP(B206,NOMINA,18,FALSE)),"",VLOOKUP(B206,NOMINA,18,FALSE)))</f>
        <v>30000</v>
      </c>
      <c r="C213" s="21" t="s">
        <v>117</v>
      </c>
      <c r="D213" s="73">
        <f>IF(ISBLANK(B206),"",IF(ISERROR(VLOOKUP(B206,NOMINA,24,FALSE)),"",VLOOKUP(B206,NOMINA,24,FALSE)))</f>
        <v>3080</v>
      </c>
      <c r="F213" s="18" t="s">
        <v>111</v>
      </c>
      <c r="G213" s="16">
        <f>IF(ISBLANK(G206),"",IF(ISERROR(VLOOKUP(G206,NOMINA,18,FALSE)),"",VLOOKUP(G206,NOMINA,18,FALSE)))</f>
        <v>30000</v>
      </c>
      <c r="H213" s="21" t="s">
        <v>117</v>
      </c>
      <c r="I213" s="73">
        <f>IF(ISBLANK(G206),"",IF(ISERROR(VLOOKUP(G206,NOMINA,24,FALSE)),"",VLOOKUP(G206,NOMINA,24,FALSE)))</f>
        <v>7000</v>
      </c>
    </row>
    <row r="214" spans="1:9" ht="13.5" thickBot="1" x14ac:dyDescent="0.25">
      <c r="A214" s="22"/>
      <c r="B214" s="68"/>
      <c r="C214" s="23"/>
      <c r="D214" s="74"/>
      <c r="F214" s="22"/>
      <c r="G214" s="68"/>
      <c r="H214" s="23"/>
      <c r="I214" s="74"/>
    </row>
    <row r="215" spans="1:9" ht="15.75" thickBot="1" x14ac:dyDescent="0.25">
      <c r="A215" s="24" t="s">
        <v>112</v>
      </c>
      <c r="B215" s="16">
        <f>IF(ISBLANK(B206),"",IF(ISERROR(VLOOKUP(B206,NOMINA,19,FALSE)),"",VLOOKUP(B206,NOMINA,19,FALSE)))</f>
        <v>768691.66666666663</v>
      </c>
      <c r="C215" s="25" t="s">
        <v>118</v>
      </c>
      <c r="D215" s="67">
        <f>IF(ISBLANK(B206),"",IF(ISERROR(VLOOKUP(B206,NOMINA,25,FALSE)),"",VLOOKUP(B206,NOMINA,25,FALSE)))</f>
        <v>128484.5</v>
      </c>
      <c r="F215" s="24" t="s">
        <v>112</v>
      </c>
      <c r="G215" s="16">
        <f>IF(ISBLANK(G206),"",IF(ISERROR(VLOOKUP(G206,NOMINA,19,FALSE)),"",VLOOKUP(G206,NOMINA,19,FALSE)))</f>
        <v>802000</v>
      </c>
      <c r="H215" s="25" t="s">
        <v>118</v>
      </c>
      <c r="I215" s="67">
        <f>IF(ISBLANK(G206),"",IF(ISERROR(VLOOKUP(G206,NOMINA,25,FALSE)),"",VLOOKUP(G206,NOMINA,25,FALSE)))</f>
        <v>138400</v>
      </c>
    </row>
    <row r="216" spans="1:9" x14ac:dyDescent="0.2">
      <c r="A216" s="22"/>
      <c r="B216" s="69"/>
      <c r="C216" s="23"/>
      <c r="D216" s="74"/>
      <c r="F216" s="22"/>
      <c r="G216" s="69"/>
      <c r="H216" s="23"/>
      <c r="I216" s="74"/>
    </row>
    <row r="217" spans="1:9" ht="13.5" thickBot="1" x14ac:dyDescent="0.25">
      <c r="A217" s="26"/>
      <c r="B217" s="70"/>
      <c r="C217" s="27"/>
      <c r="D217" s="75"/>
      <c r="F217" s="26"/>
      <c r="G217" s="70"/>
      <c r="H217" s="27"/>
      <c r="I217" s="75"/>
    </row>
    <row r="218" spans="1:9" ht="18.75" thickBot="1" x14ac:dyDescent="0.3">
      <c r="B218" s="71"/>
      <c r="C218" s="28" t="s">
        <v>119</v>
      </c>
      <c r="D218" s="76">
        <f>IF(ISBLANK(B206),"",IF(ISERROR(VLOOKUP(B206,NOMINA,26,FALSE)),"",VLOOKUP(B206,NOMINA,26,FALSE)))</f>
        <v>640207.16666666663</v>
      </c>
      <c r="G218" s="71"/>
      <c r="H218" s="28" t="s">
        <v>119</v>
      </c>
      <c r="I218" s="76">
        <f>IF(ISBLANK(G206),"",IF(ISERROR(VLOOKUP(G206,NOMINA,26,FALSE)),"",VLOOKUP(G206,NOMINA,26,FALSE)))</f>
        <v>663600</v>
      </c>
    </row>
    <row r="220" spans="1:9" ht="13.5" thickBot="1" x14ac:dyDescent="0.25"/>
    <row r="221" spans="1:9" x14ac:dyDescent="0.2">
      <c r="A221" s="181"/>
      <c r="B221" s="182"/>
      <c r="C221" s="182"/>
      <c r="D221" s="183"/>
      <c r="F221" s="181"/>
      <c r="G221" s="182"/>
      <c r="H221" s="182"/>
      <c r="I221" s="183"/>
    </row>
    <row r="222" spans="1:9" ht="18" x14ac:dyDescent="0.25">
      <c r="A222" s="184" t="s">
        <v>152</v>
      </c>
      <c r="B222" s="185"/>
      <c r="C222" s="185"/>
      <c r="D222" s="186"/>
      <c r="F222" s="184" t="s">
        <v>152</v>
      </c>
      <c r="G222" s="185"/>
      <c r="H222" s="185"/>
      <c r="I222" s="186"/>
    </row>
    <row r="223" spans="1:9" ht="18" x14ac:dyDescent="0.25">
      <c r="A223" s="187" t="s">
        <v>153</v>
      </c>
      <c r="B223" s="188"/>
      <c r="C223" s="188"/>
      <c r="D223" s="189"/>
      <c r="F223" s="187" t="s">
        <v>153</v>
      </c>
      <c r="G223" s="188"/>
      <c r="H223" s="188"/>
      <c r="I223" s="189"/>
    </row>
    <row r="224" spans="1:9" ht="15" x14ac:dyDescent="0.2">
      <c r="A224" s="172" t="s">
        <v>165</v>
      </c>
      <c r="B224" s="173"/>
      <c r="C224" s="173"/>
      <c r="D224" s="174"/>
      <c r="F224" s="172" t="s">
        <v>165</v>
      </c>
      <c r="G224" s="173"/>
      <c r="H224" s="173"/>
      <c r="I224" s="174"/>
    </row>
    <row r="225" spans="1:9" ht="13.5" thickBot="1" x14ac:dyDescent="0.25">
      <c r="A225" s="175"/>
      <c r="B225" s="176"/>
      <c r="C225" s="176"/>
      <c r="D225" s="177"/>
      <c r="F225" s="175"/>
      <c r="G225" s="176"/>
      <c r="H225" s="176"/>
      <c r="I225" s="177"/>
    </row>
    <row r="226" spans="1:9" ht="15.75" thickBot="1" x14ac:dyDescent="0.25">
      <c r="A226" s="13" t="s">
        <v>154</v>
      </c>
      <c r="B226" s="178" t="s">
        <v>144</v>
      </c>
      <c r="C226" s="179"/>
      <c r="D226" s="180"/>
      <c r="F226" s="13" t="s">
        <v>154</v>
      </c>
      <c r="G226" s="178" t="s">
        <v>145</v>
      </c>
      <c r="H226" s="179"/>
      <c r="I226" s="180"/>
    </row>
    <row r="227" spans="1:9" ht="15.75" thickBot="1" x14ac:dyDescent="0.25">
      <c r="A227" s="14" t="s">
        <v>120</v>
      </c>
      <c r="B227" s="166" t="str">
        <f>IF(ISBLANK(B226),"",IF(ISERROR(VLOOKUP(B226,BDEMPLEADOS,2,FALSE)),"NOEXISTE",VLOOKUP(B226,BDEMPLEADOS,2,FALSE)))</f>
        <v>Mauricio Alzate</v>
      </c>
      <c r="C227" s="167"/>
      <c r="D227" s="168"/>
      <c r="F227" s="14" t="s">
        <v>120</v>
      </c>
      <c r="G227" s="166" t="str">
        <f>IF(ISBLANK(G226),"",IF(ISERROR(VLOOKUP(G226,BDEMPLEADOS,2,FALSE)),"NOEXISTE",VLOOKUP(G226,BDEMPLEADOS,2,FALSE)))</f>
        <v>Mónica Yurany Giraldo</v>
      </c>
      <c r="H227" s="167"/>
      <c r="I227" s="168"/>
    </row>
    <row r="228" spans="1:9" ht="15.75" thickBot="1" x14ac:dyDescent="0.25">
      <c r="A228" s="169"/>
      <c r="B228" s="170"/>
      <c r="C228" s="170"/>
      <c r="D228" s="171"/>
      <c r="F228" s="169"/>
      <c r="G228" s="170"/>
      <c r="H228" s="170"/>
      <c r="I228" s="171"/>
    </row>
    <row r="229" spans="1:9" ht="15.75" thickBot="1" x14ac:dyDescent="0.25">
      <c r="A229" s="15" t="s">
        <v>107</v>
      </c>
      <c r="B229" s="16">
        <f>IF(ISBLANK(B226),"",IF(ISERROR(VLOOKUP(B226,BDEMPLEADOS,4,FALSE)),"",VLOOKUP(B226,BDEMPLEADOS,4,FALSE)))</f>
        <v>566700</v>
      </c>
      <c r="C229" s="17" t="s">
        <v>113</v>
      </c>
      <c r="D229" s="67">
        <f>IF(ISBLANK(B226),"",IF(ISERROR(VLOOKUP(B226,NOMINA,20,FALSE)),"",VLOOKUP(B226,NOMINA,20,FALSE)))</f>
        <v>26333.387500000001</v>
      </c>
      <c r="F229" s="15" t="s">
        <v>107</v>
      </c>
      <c r="G229" s="16">
        <f>IF(ISBLANK(G226),"",IF(ISERROR(VLOOKUP(G226,BDEMPLEADOS,4,FALSE)),"",VLOOKUP(G226,BDEMPLEADOS,4,FALSE)))</f>
        <v>750000</v>
      </c>
      <c r="H229" s="17" t="s">
        <v>113</v>
      </c>
      <c r="I229" s="67">
        <f>IF(ISBLANK(G226),"",IF(ISERROR(VLOOKUP(G226,NOMINA,20,FALSE)),"",VLOOKUP(G226,NOMINA,20,FALSE)))</f>
        <v>31200</v>
      </c>
    </row>
    <row r="230" spans="1:9" ht="15.75" thickBot="1" x14ac:dyDescent="0.25">
      <c r="A230" s="18" t="s">
        <v>108</v>
      </c>
      <c r="B230" s="16">
        <f>IF(ISBLANK(B226),"",IF(ISERROR(VLOOKUP(B226,NOMINA,15,FALSE)),"",VLOOKUP(B226,NOMINA,15,FALSE)))</f>
        <v>46634.6875</v>
      </c>
      <c r="C230" s="19" t="s">
        <v>114</v>
      </c>
      <c r="D230" s="67">
        <f>IF(ISBLANK(B226),"",IF(ISERROR(VLOOKUP(B226,NOMINA,21,FALSE)),"",VLOOKUP(B226,NOMINA,21,FALSE)))</f>
        <v>26333.387500000001</v>
      </c>
      <c r="F230" s="18" t="s">
        <v>108</v>
      </c>
      <c r="G230" s="16">
        <f>IF(ISBLANK(G226),"",IF(ISERROR(VLOOKUP(G226,NOMINA,15,FALSE)),"",VLOOKUP(G226,NOMINA,15,FALSE)))</f>
        <v>0</v>
      </c>
      <c r="H230" s="19" t="s">
        <v>114</v>
      </c>
      <c r="I230" s="67">
        <f>IF(ISBLANK(G226),"",IF(ISERROR(VLOOKUP(G226,NOMINA,21,FALSE)),"",VLOOKUP(G226,NOMINA,21,FALSE)))</f>
        <v>31200</v>
      </c>
    </row>
    <row r="231" spans="1:9" ht="15.75" thickBot="1" x14ac:dyDescent="0.25">
      <c r="A231" s="20" t="s">
        <v>109</v>
      </c>
      <c r="B231" s="16">
        <f>IF(ISBLANK(B226),"",IF(ISERROR(VLOOKUP(B226,NOMINA,16,FALSE)),"",VLOOKUP(B226,NOMINA,16,FALSE)))</f>
        <v>72000</v>
      </c>
      <c r="C231" s="19" t="s">
        <v>115</v>
      </c>
      <c r="D231" s="67" t="str">
        <f>IF(ISBLANK(B226),"",IF(ISERROR(VLOOKUP(B226,NOMINA,22,FALSE)),"",VLOOKUP(B226,NOMINA,22,FALSE)))</f>
        <v/>
      </c>
      <c r="F231" s="20" t="s">
        <v>109</v>
      </c>
      <c r="G231" s="16">
        <f>IF(ISBLANK(G226),"",IF(ISERROR(VLOOKUP(G226,NOMINA,16,FALSE)),"",VLOOKUP(G226,NOMINA,16,FALSE)))</f>
        <v>72000</v>
      </c>
      <c r="H231" s="19" t="s">
        <v>115</v>
      </c>
      <c r="I231" s="67" t="str">
        <f>IF(ISBLANK(G226),"",IF(ISERROR(VLOOKUP(G226,NOMINA,22,FALSE)),"",VLOOKUP(G226,NOMINA,22,FALSE)))</f>
        <v/>
      </c>
    </row>
    <row r="232" spans="1:9" ht="15.75" thickBot="1" x14ac:dyDescent="0.25">
      <c r="A232" s="18" t="s">
        <v>110</v>
      </c>
      <c r="B232" s="16">
        <f>IF(ISBLANK(B226),"",IF(ISERROR(VLOOKUP(B226,NOMINA,17,FALSE)),"",VLOOKUP(B226,NOMINA,17,FALSE)))</f>
        <v>0</v>
      </c>
      <c r="C232" s="19" t="s">
        <v>116</v>
      </c>
      <c r="D232" s="67">
        <f>IF(ISBLANK(B226),"",IF(ISERROR(VLOOKUP(B226,NOMINA,23,FALSE)),"",VLOOKUP(B226,NOMINA,23,FALSE)))</f>
        <v>65833.46875</v>
      </c>
      <c r="F232" s="18" t="s">
        <v>110</v>
      </c>
      <c r="G232" s="16">
        <f>IF(ISBLANK(G226),"",IF(ISERROR(VLOOKUP(G226,NOMINA,17,FALSE)),"",VLOOKUP(G226,NOMINA,17,FALSE)))</f>
        <v>0</v>
      </c>
      <c r="H232" s="19" t="s">
        <v>116</v>
      </c>
      <c r="I232" s="67">
        <f>IF(ISBLANK(G226),"",IF(ISERROR(VLOOKUP(G226,NOMINA,23,FALSE)),"",VLOOKUP(G226,NOMINA,23,FALSE)))</f>
        <v>78000</v>
      </c>
    </row>
    <row r="233" spans="1:9" ht="15.75" thickBot="1" x14ac:dyDescent="0.25">
      <c r="A233" s="18" t="s">
        <v>111</v>
      </c>
      <c r="B233" s="16">
        <f>IF(ISBLANK(B226),"",IF(ISERROR(VLOOKUP(B226,NOMINA,18,FALSE)),"",VLOOKUP(B226,NOMINA,18,FALSE)))</f>
        <v>44999.999999999993</v>
      </c>
      <c r="C233" s="21" t="s">
        <v>117</v>
      </c>
      <c r="D233" s="73">
        <f>IF(ISBLANK(B226),"",IF(ISERROR(VLOOKUP(B226,NOMINA,24,FALSE)),"",VLOOKUP(B226,NOMINA,24,FALSE)))</f>
        <v>2833.5</v>
      </c>
      <c r="F233" s="18" t="s">
        <v>111</v>
      </c>
      <c r="G233" s="16">
        <f>IF(ISBLANK(G226),"",IF(ISERROR(VLOOKUP(G226,NOMINA,18,FALSE)),"",VLOOKUP(G226,NOMINA,18,FALSE)))</f>
        <v>30000</v>
      </c>
      <c r="H233" s="21" t="s">
        <v>117</v>
      </c>
      <c r="I233" s="73">
        <f>IF(ISBLANK(G226),"",IF(ISERROR(VLOOKUP(G226,NOMINA,24,FALSE)),"",VLOOKUP(G226,NOMINA,24,FALSE)))</f>
        <v>7500</v>
      </c>
    </row>
    <row r="234" spans="1:9" ht="13.5" thickBot="1" x14ac:dyDescent="0.25">
      <c r="A234" s="22"/>
      <c r="B234" s="68"/>
      <c r="C234" s="23"/>
      <c r="D234" s="74"/>
      <c r="F234" s="22"/>
      <c r="G234" s="68"/>
      <c r="H234" s="23"/>
      <c r="I234" s="74"/>
    </row>
    <row r="235" spans="1:9" ht="15.75" thickBot="1" x14ac:dyDescent="0.25">
      <c r="A235" s="24" t="s">
        <v>112</v>
      </c>
      <c r="B235" s="16">
        <f>IF(ISBLANK(B226),"",IF(ISERROR(VLOOKUP(B226,NOMINA,19,FALSE)),"",VLOOKUP(B226,NOMINA,19,FALSE)))</f>
        <v>730334.6875</v>
      </c>
      <c r="C235" s="25" t="s">
        <v>118</v>
      </c>
      <c r="D235" s="67">
        <f>IF(ISBLANK(B226),"",IF(ISERROR(VLOOKUP(B226,NOMINA,25,FALSE)),"",VLOOKUP(B226,NOMINA,25,FALSE)))</f>
        <v>121333.74374999999</v>
      </c>
      <c r="F235" s="24" t="s">
        <v>112</v>
      </c>
      <c r="G235" s="16">
        <f>IF(ISBLANK(G226),"",IF(ISERROR(VLOOKUP(G226,NOMINA,19,FALSE)),"",VLOOKUP(G226,NOMINA,19,FALSE)))</f>
        <v>852000</v>
      </c>
      <c r="H235" s="25" t="s">
        <v>118</v>
      </c>
      <c r="I235" s="67">
        <f>IF(ISBLANK(G226),"",IF(ISERROR(VLOOKUP(G226,NOMINA,25,FALSE)),"",VLOOKUP(G226,NOMINA,25,FALSE)))</f>
        <v>147900</v>
      </c>
    </row>
    <row r="236" spans="1:9" x14ac:dyDescent="0.2">
      <c r="A236" s="22"/>
      <c r="B236" s="69"/>
      <c r="C236" s="23"/>
      <c r="D236" s="74"/>
      <c r="F236" s="22"/>
      <c r="G236" s="69"/>
      <c r="H236" s="23"/>
      <c r="I236" s="74"/>
    </row>
    <row r="237" spans="1:9" ht="13.5" thickBot="1" x14ac:dyDescent="0.25">
      <c r="A237" s="26"/>
      <c r="B237" s="70"/>
      <c r="C237" s="27"/>
      <c r="D237" s="75"/>
      <c r="F237" s="26"/>
      <c r="G237" s="70"/>
      <c r="H237" s="27"/>
      <c r="I237" s="75"/>
    </row>
    <row r="238" spans="1:9" ht="18.75" thickBot="1" x14ac:dyDescent="0.3">
      <c r="B238" s="71"/>
      <c r="C238" s="28" t="s">
        <v>119</v>
      </c>
      <c r="D238" s="76">
        <f>IF(ISBLANK(B226),"",IF(ISERROR(VLOOKUP(B226,NOMINA,26,FALSE)),"",VLOOKUP(B226,NOMINA,26,FALSE)))</f>
        <v>609000.94374999998</v>
      </c>
      <c r="G238" s="71"/>
      <c r="H238" s="28" t="s">
        <v>119</v>
      </c>
      <c r="I238" s="76">
        <f>IF(ISBLANK(G226),"",IF(ISERROR(VLOOKUP(G226,NOMINA,26,FALSE)),"",VLOOKUP(G226,NOMINA,26,FALSE)))</f>
        <v>704100</v>
      </c>
    </row>
    <row r="240" spans="1:9" ht="13.5" thickBot="1" x14ac:dyDescent="0.25"/>
    <row r="241" spans="1:9" x14ac:dyDescent="0.2">
      <c r="A241" s="181"/>
      <c r="B241" s="182"/>
      <c r="C241" s="182"/>
      <c r="D241" s="183"/>
      <c r="F241" s="181"/>
      <c r="G241" s="182"/>
      <c r="H241" s="182"/>
      <c r="I241" s="183"/>
    </row>
    <row r="242" spans="1:9" ht="18" x14ac:dyDescent="0.25">
      <c r="A242" s="184" t="s">
        <v>152</v>
      </c>
      <c r="B242" s="185"/>
      <c r="C242" s="185"/>
      <c r="D242" s="186"/>
      <c r="F242" s="184" t="s">
        <v>152</v>
      </c>
      <c r="G242" s="185"/>
      <c r="H242" s="185"/>
      <c r="I242" s="186"/>
    </row>
    <row r="243" spans="1:9" ht="18" x14ac:dyDescent="0.25">
      <c r="A243" s="187" t="s">
        <v>153</v>
      </c>
      <c r="B243" s="188"/>
      <c r="C243" s="188"/>
      <c r="D243" s="189"/>
      <c r="F243" s="187" t="s">
        <v>153</v>
      </c>
      <c r="G243" s="188"/>
      <c r="H243" s="188"/>
      <c r="I243" s="189"/>
    </row>
    <row r="244" spans="1:9" ht="15" x14ac:dyDescent="0.2">
      <c r="A244" s="172" t="s">
        <v>165</v>
      </c>
      <c r="B244" s="173"/>
      <c r="C244" s="173"/>
      <c r="D244" s="174"/>
      <c r="F244" s="172" t="s">
        <v>165</v>
      </c>
      <c r="G244" s="173"/>
      <c r="H244" s="173"/>
      <c r="I244" s="174"/>
    </row>
    <row r="245" spans="1:9" ht="13.5" thickBot="1" x14ac:dyDescent="0.25">
      <c r="A245" s="175"/>
      <c r="B245" s="176"/>
      <c r="C245" s="176"/>
      <c r="D245" s="177"/>
      <c r="F245" s="175"/>
      <c r="G245" s="176"/>
      <c r="H245" s="176"/>
      <c r="I245" s="177"/>
    </row>
    <row r="246" spans="1:9" ht="15.75" thickBot="1" x14ac:dyDescent="0.25">
      <c r="A246" s="13" t="s">
        <v>154</v>
      </c>
      <c r="B246" s="178" t="s">
        <v>146</v>
      </c>
      <c r="C246" s="179"/>
      <c r="D246" s="180"/>
      <c r="F246" s="13" t="s">
        <v>154</v>
      </c>
      <c r="G246" s="178" t="s">
        <v>147</v>
      </c>
      <c r="H246" s="179"/>
      <c r="I246" s="180"/>
    </row>
    <row r="247" spans="1:9" ht="15.75" thickBot="1" x14ac:dyDescent="0.25">
      <c r="A247" s="14" t="s">
        <v>120</v>
      </c>
      <c r="B247" s="166" t="str">
        <f>IF(ISBLANK(B246),"",IF(ISERROR(VLOOKUP(B246,BDEMPLEADOS,2,FALSE)),"NOEXISTE",VLOOKUP(B246,BDEMPLEADOS,2,FALSE)))</f>
        <v>Nayibet Galvis</v>
      </c>
      <c r="C247" s="167"/>
      <c r="D247" s="168"/>
      <c r="F247" s="14" t="s">
        <v>120</v>
      </c>
      <c r="G247" s="166" t="str">
        <f>IF(ISBLANK(G246),"",IF(ISERROR(VLOOKUP(G246,BDEMPLEADOS,2,FALSE)),"NOEXISTE",VLOOKUP(G246,BDEMPLEADOS,2,FALSE)))</f>
        <v>Patricia Rodriguez</v>
      </c>
      <c r="H247" s="167"/>
      <c r="I247" s="168"/>
    </row>
    <row r="248" spans="1:9" ht="15.75" thickBot="1" x14ac:dyDescent="0.25">
      <c r="A248" s="169"/>
      <c r="B248" s="170"/>
      <c r="C248" s="170"/>
      <c r="D248" s="171"/>
      <c r="F248" s="169"/>
      <c r="G248" s="170"/>
      <c r="H248" s="170"/>
      <c r="I248" s="171"/>
    </row>
    <row r="249" spans="1:9" ht="15.75" thickBot="1" x14ac:dyDescent="0.25">
      <c r="A249" s="15" t="s">
        <v>107</v>
      </c>
      <c r="B249" s="16">
        <f>IF(ISBLANK(B246),"",IF(ISERROR(VLOOKUP(B246,BDEMPLEADOS,4,FALSE)),"",VLOOKUP(B246,BDEMPLEADOS,4,FALSE)))</f>
        <v>616000</v>
      </c>
      <c r="C249" s="17" t="s">
        <v>113</v>
      </c>
      <c r="D249" s="67">
        <f>IF(ISBLANK(B246),"",IF(ISERROR(VLOOKUP(B246,NOMINA,20,FALSE)),"",VLOOKUP(B246,NOMINA,20,FALSE)))</f>
        <v>27867.666666666664</v>
      </c>
      <c r="F249" s="15" t="s">
        <v>107</v>
      </c>
      <c r="G249" s="16">
        <f>IF(ISBLANK(G246),"",IF(ISERROR(VLOOKUP(G246,BDEMPLEADOS,4,FALSE)),"",VLOOKUP(G246,BDEMPLEADOS,4,FALSE)))</f>
        <v>616000</v>
      </c>
      <c r="H249" s="17" t="s">
        <v>113</v>
      </c>
      <c r="I249" s="67">
        <f>IF(ISBLANK(G246),"",IF(ISERROR(VLOOKUP(G246,NOMINA,20,FALSE)),"",VLOOKUP(G246,NOMINA,20,FALSE)))</f>
        <v>27867.666666666664</v>
      </c>
    </row>
    <row r="250" spans="1:9" ht="15.75" thickBot="1" x14ac:dyDescent="0.25">
      <c r="A250" s="18" t="s">
        <v>108</v>
      </c>
      <c r="B250" s="16">
        <f>IF(ISBLANK(B246),"",IF(ISERROR(VLOOKUP(B246,NOMINA,15,FALSE)),"",VLOOKUP(B246,NOMINA,15,FALSE)))</f>
        <v>50691.666666666657</v>
      </c>
      <c r="C250" s="19" t="s">
        <v>114</v>
      </c>
      <c r="D250" s="67">
        <f>IF(ISBLANK(B246),"",IF(ISERROR(VLOOKUP(B246,NOMINA,21,FALSE)),"",VLOOKUP(B246,NOMINA,21,FALSE)))</f>
        <v>27867.666666666664</v>
      </c>
      <c r="F250" s="18" t="s">
        <v>108</v>
      </c>
      <c r="G250" s="16">
        <f>IF(ISBLANK(G246),"",IF(ISERROR(VLOOKUP(G246,NOMINA,15,FALSE)),"",VLOOKUP(G246,NOMINA,15,FALSE)))</f>
        <v>50691.666666666657</v>
      </c>
      <c r="H250" s="19" t="s">
        <v>114</v>
      </c>
      <c r="I250" s="67">
        <f>IF(ISBLANK(G246),"",IF(ISERROR(VLOOKUP(G246,NOMINA,21,FALSE)),"",VLOOKUP(G246,NOMINA,21,FALSE)))</f>
        <v>27867.666666666664</v>
      </c>
    </row>
    <row r="251" spans="1:9" ht="15.75" thickBot="1" x14ac:dyDescent="0.25">
      <c r="A251" s="20" t="s">
        <v>109</v>
      </c>
      <c r="B251" s="16">
        <f>IF(ISBLANK(B246),"",IF(ISERROR(VLOOKUP(B246,NOMINA,16,FALSE)),"",VLOOKUP(B246,NOMINA,16,FALSE)))</f>
        <v>72000</v>
      </c>
      <c r="C251" s="19" t="s">
        <v>115</v>
      </c>
      <c r="D251" s="67" t="str">
        <f>IF(ISBLANK(B246),"",IF(ISERROR(VLOOKUP(B246,NOMINA,22,FALSE)),"",VLOOKUP(B246,NOMINA,22,FALSE)))</f>
        <v/>
      </c>
      <c r="F251" s="20" t="s">
        <v>109</v>
      </c>
      <c r="G251" s="16">
        <f>IF(ISBLANK(G246),"",IF(ISERROR(VLOOKUP(G246,NOMINA,16,FALSE)),"",VLOOKUP(G246,NOMINA,16,FALSE)))</f>
        <v>72000</v>
      </c>
      <c r="H251" s="19" t="s">
        <v>115</v>
      </c>
      <c r="I251" s="67" t="str">
        <f>IF(ISBLANK(G246),"",IF(ISERROR(VLOOKUP(G246,NOMINA,22,FALSE)),"",VLOOKUP(G246,NOMINA,22,FALSE)))</f>
        <v/>
      </c>
    </row>
    <row r="252" spans="1:9" ht="15.75" thickBot="1" x14ac:dyDescent="0.25">
      <c r="A252" s="18" t="s">
        <v>110</v>
      </c>
      <c r="B252" s="16">
        <f>IF(ISBLANK(B246),"",IF(ISERROR(VLOOKUP(B246,NOMINA,17,FALSE)),"",VLOOKUP(B246,NOMINA,17,FALSE)))</f>
        <v>0</v>
      </c>
      <c r="C252" s="19" t="s">
        <v>116</v>
      </c>
      <c r="D252" s="67">
        <f>IF(ISBLANK(B246),"",IF(ISERROR(VLOOKUP(B246,NOMINA,23,FALSE)),"",VLOOKUP(B246,NOMINA,23,FALSE)))</f>
        <v>69669.166666666672</v>
      </c>
      <c r="F252" s="18" t="s">
        <v>110</v>
      </c>
      <c r="G252" s="16">
        <f>IF(ISBLANK(G246),"",IF(ISERROR(VLOOKUP(G246,NOMINA,17,FALSE)),"",VLOOKUP(G246,NOMINA,17,FALSE)))</f>
        <v>0</v>
      </c>
      <c r="H252" s="19" t="s">
        <v>116</v>
      </c>
      <c r="I252" s="67">
        <f>IF(ISBLANK(G246),"",IF(ISERROR(VLOOKUP(G246,NOMINA,23,FALSE)),"",VLOOKUP(G246,NOMINA,23,FALSE)))</f>
        <v>69669.166666666672</v>
      </c>
    </row>
    <row r="253" spans="1:9" ht="15.75" thickBot="1" x14ac:dyDescent="0.25">
      <c r="A253" s="18" t="s">
        <v>111</v>
      </c>
      <c r="B253" s="16">
        <f>IF(ISBLANK(B246),"",IF(ISERROR(VLOOKUP(B246,NOMINA,18,FALSE)),"",VLOOKUP(B246,NOMINA,18,FALSE)))</f>
        <v>30000</v>
      </c>
      <c r="C253" s="21" t="s">
        <v>117</v>
      </c>
      <c r="D253" s="73">
        <f>IF(ISBLANK(B246),"",IF(ISERROR(VLOOKUP(B246,NOMINA,24,FALSE)),"",VLOOKUP(B246,NOMINA,24,FALSE)))</f>
        <v>3080</v>
      </c>
      <c r="F253" s="18" t="s">
        <v>111</v>
      </c>
      <c r="G253" s="16">
        <f>IF(ISBLANK(G246),"",IF(ISERROR(VLOOKUP(G246,NOMINA,18,FALSE)),"",VLOOKUP(G246,NOMINA,18,FALSE)))</f>
        <v>30000</v>
      </c>
      <c r="H253" s="21" t="s">
        <v>117</v>
      </c>
      <c r="I253" s="73">
        <f>IF(ISBLANK(G246),"",IF(ISERROR(VLOOKUP(G246,NOMINA,24,FALSE)),"",VLOOKUP(G246,NOMINA,24,FALSE)))</f>
        <v>3080</v>
      </c>
    </row>
    <row r="254" spans="1:9" ht="13.5" thickBot="1" x14ac:dyDescent="0.25">
      <c r="A254" s="22"/>
      <c r="B254" s="68"/>
      <c r="C254" s="23"/>
      <c r="D254" s="74"/>
      <c r="F254" s="22"/>
      <c r="G254" s="68"/>
      <c r="H254" s="23"/>
      <c r="I254" s="74"/>
    </row>
    <row r="255" spans="1:9" ht="15.75" thickBot="1" x14ac:dyDescent="0.25">
      <c r="A255" s="24" t="s">
        <v>112</v>
      </c>
      <c r="B255" s="16">
        <f>IF(ISBLANK(B246),"",IF(ISERROR(VLOOKUP(B246,NOMINA,19,FALSE)),"",VLOOKUP(B246,NOMINA,19,FALSE)))</f>
        <v>768691.66666666663</v>
      </c>
      <c r="C255" s="25" t="s">
        <v>118</v>
      </c>
      <c r="D255" s="67">
        <f>IF(ISBLANK(B246),"",IF(ISERROR(VLOOKUP(B246,NOMINA,25,FALSE)),"",VLOOKUP(B246,NOMINA,25,FALSE)))</f>
        <v>128484.5</v>
      </c>
      <c r="F255" s="24" t="s">
        <v>112</v>
      </c>
      <c r="G255" s="16">
        <f>IF(ISBLANK(G246),"",IF(ISERROR(VLOOKUP(G246,NOMINA,19,FALSE)),"",VLOOKUP(G246,NOMINA,19,FALSE)))</f>
        <v>768691.66666666663</v>
      </c>
      <c r="H255" s="25" t="s">
        <v>118</v>
      </c>
      <c r="I255" s="67">
        <f>IF(ISBLANK(G246),"",IF(ISERROR(VLOOKUP(G246,NOMINA,25,FALSE)),"",VLOOKUP(G246,NOMINA,25,FALSE)))</f>
        <v>128484.5</v>
      </c>
    </row>
    <row r="256" spans="1:9" x14ac:dyDescent="0.2">
      <c r="A256" s="22"/>
      <c r="B256" s="69"/>
      <c r="C256" s="23"/>
      <c r="D256" s="74"/>
      <c r="F256" s="22"/>
      <c r="G256" s="69"/>
      <c r="H256" s="23"/>
      <c r="I256" s="74"/>
    </row>
    <row r="257" spans="1:9" ht="13.5" thickBot="1" x14ac:dyDescent="0.25">
      <c r="A257" s="26"/>
      <c r="B257" s="70"/>
      <c r="C257" s="27"/>
      <c r="D257" s="75"/>
      <c r="F257" s="26"/>
      <c r="G257" s="70"/>
      <c r="H257" s="27"/>
      <c r="I257" s="75"/>
    </row>
    <row r="258" spans="1:9" ht="18.75" thickBot="1" x14ac:dyDescent="0.3">
      <c r="B258" s="71"/>
      <c r="C258" s="28" t="s">
        <v>119</v>
      </c>
      <c r="D258" s="76">
        <f>IF(ISBLANK(B246),"",IF(ISERROR(VLOOKUP(B246,NOMINA,26,FALSE)),"",VLOOKUP(B246,NOMINA,26,FALSE)))</f>
        <v>640207.16666666663</v>
      </c>
      <c r="G258" s="71"/>
      <c r="H258" s="28" t="s">
        <v>119</v>
      </c>
      <c r="I258" s="76">
        <f>IF(ISBLANK(G246),"",IF(ISERROR(VLOOKUP(G246,NOMINA,26,FALSE)),"",VLOOKUP(G246,NOMINA,26,FALSE)))</f>
        <v>640207.16666666663</v>
      </c>
    </row>
    <row r="260" spans="1:9" ht="13.5" thickBot="1" x14ac:dyDescent="0.25"/>
    <row r="261" spans="1:9" x14ac:dyDescent="0.2">
      <c r="A261" s="181"/>
      <c r="B261" s="182"/>
      <c r="C261" s="182"/>
      <c r="D261" s="183"/>
      <c r="F261" s="181"/>
      <c r="G261" s="182"/>
      <c r="H261" s="182"/>
      <c r="I261" s="183"/>
    </row>
    <row r="262" spans="1:9" ht="18" x14ac:dyDescent="0.25">
      <c r="A262" s="184" t="s">
        <v>152</v>
      </c>
      <c r="B262" s="185"/>
      <c r="C262" s="185"/>
      <c r="D262" s="186"/>
      <c r="F262" s="184" t="s">
        <v>152</v>
      </c>
      <c r="G262" s="185"/>
      <c r="H262" s="185"/>
      <c r="I262" s="186"/>
    </row>
    <row r="263" spans="1:9" ht="18" x14ac:dyDescent="0.25">
      <c r="A263" s="187" t="s">
        <v>153</v>
      </c>
      <c r="B263" s="188"/>
      <c r="C263" s="188"/>
      <c r="D263" s="189"/>
      <c r="F263" s="187" t="s">
        <v>153</v>
      </c>
      <c r="G263" s="188"/>
      <c r="H263" s="188"/>
      <c r="I263" s="189"/>
    </row>
    <row r="264" spans="1:9" ht="15" x14ac:dyDescent="0.2">
      <c r="A264" s="172" t="s">
        <v>165</v>
      </c>
      <c r="B264" s="173"/>
      <c r="C264" s="173"/>
      <c r="D264" s="174"/>
      <c r="F264" s="172" t="s">
        <v>165</v>
      </c>
      <c r="G264" s="173"/>
      <c r="H264" s="173"/>
      <c r="I264" s="174"/>
    </row>
    <row r="265" spans="1:9" ht="13.5" thickBot="1" x14ac:dyDescent="0.25">
      <c r="A265" s="175"/>
      <c r="B265" s="176"/>
      <c r="C265" s="176"/>
      <c r="D265" s="177"/>
      <c r="F265" s="175"/>
      <c r="G265" s="176"/>
      <c r="H265" s="176"/>
      <c r="I265" s="177"/>
    </row>
    <row r="266" spans="1:9" ht="15.75" thickBot="1" x14ac:dyDescent="0.25">
      <c r="A266" s="13" t="s">
        <v>154</v>
      </c>
      <c r="B266" s="178" t="s">
        <v>148</v>
      </c>
      <c r="C266" s="179"/>
      <c r="D266" s="180"/>
      <c r="F266" s="13" t="s">
        <v>154</v>
      </c>
      <c r="G266" s="178" t="s">
        <v>149</v>
      </c>
      <c r="H266" s="179"/>
      <c r="I266" s="180"/>
    </row>
    <row r="267" spans="1:9" ht="15.75" thickBot="1" x14ac:dyDescent="0.25">
      <c r="A267" s="14" t="s">
        <v>120</v>
      </c>
      <c r="B267" s="166" t="str">
        <f>IF(ISBLANK(B266),"",IF(ISERROR(VLOOKUP(B266,BDEMPLEADOS,2,FALSE)),"NOEXISTE",VLOOKUP(B266,BDEMPLEADOS,2,FALSE)))</f>
        <v>Sandra Marcela Rojas</v>
      </c>
      <c r="C267" s="167"/>
      <c r="D267" s="168"/>
      <c r="F267" s="14" t="s">
        <v>120</v>
      </c>
      <c r="G267" s="166" t="str">
        <f>IF(ISBLANK(G266),"",IF(ISERROR(VLOOKUP(G266,BDEMPLEADOS,2,FALSE)),"NOEXISTE",VLOOKUP(G266,BDEMPLEADOS,2,FALSE)))</f>
        <v>Yeisón Fernando García</v>
      </c>
      <c r="H267" s="167"/>
      <c r="I267" s="168"/>
    </row>
    <row r="268" spans="1:9" ht="15.75" thickBot="1" x14ac:dyDescent="0.25">
      <c r="A268" s="169"/>
      <c r="B268" s="170"/>
      <c r="C268" s="170"/>
      <c r="D268" s="171"/>
      <c r="F268" s="169"/>
      <c r="G268" s="170"/>
      <c r="H268" s="170"/>
      <c r="I268" s="171"/>
    </row>
    <row r="269" spans="1:9" ht="15.75" thickBot="1" x14ac:dyDescent="0.25">
      <c r="A269" s="15" t="s">
        <v>107</v>
      </c>
      <c r="B269" s="16">
        <f>IF(ISBLANK(B266),"",IF(ISERROR(VLOOKUP(B266,BDEMPLEADOS,4,FALSE)),"",VLOOKUP(B266,BDEMPLEADOS,4,FALSE)))</f>
        <v>616000</v>
      </c>
      <c r="C269" s="17" t="s">
        <v>113</v>
      </c>
      <c r="D269" s="67">
        <f>IF(ISBLANK(B266),"",IF(ISERROR(VLOOKUP(B266,NOMINA,20,FALSE)),"",VLOOKUP(B266,NOMINA,20,FALSE)))</f>
        <v>27867.666666666664</v>
      </c>
      <c r="F269" s="15" t="s">
        <v>107</v>
      </c>
      <c r="G269" s="16">
        <f>IF(ISBLANK(G266),"",IF(ISERROR(VLOOKUP(G266,BDEMPLEADOS,4,FALSE)),"",VLOOKUP(G266,BDEMPLEADOS,4,FALSE)))</f>
        <v>900000</v>
      </c>
      <c r="H269" s="17" t="s">
        <v>113</v>
      </c>
      <c r="I269" s="67">
        <f>IF(ISBLANK(G266),"",IF(ISERROR(VLOOKUP(G266,NOMINA,20,FALSE)),"",VLOOKUP(G266,NOMINA,20,FALSE)))</f>
        <v>37200</v>
      </c>
    </row>
    <row r="270" spans="1:9" ht="15.75" thickBot="1" x14ac:dyDescent="0.25">
      <c r="A270" s="18" t="s">
        <v>108</v>
      </c>
      <c r="B270" s="16">
        <f>IF(ISBLANK(B266),"",IF(ISERROR(VLOOKUP(B266,NOMINA,15,FALSE)),"",VLOOKUP(B266,NOMINA,15,FALSE)))</f>
        <v>50691.666666666657</v>
      </c>
      <c r="C270" s="19" t="s">
        <v>114</v>
      </c>
      <c r="D270" s="67">
        <f>IF(ISBLANK(B266),"",IF(ISERROR(VLOOKUP(B266,NOMINA,21,FALSE)),"",VLOOKUP(B266,NOMINA,21,FALSE)))</f>
        <v>27867.666666666664</v>
      </c>
      <c r="F270" s="18" t="s">
        <v>108</v>
      </c>
      <c r="G270" s="16">
        <f>IF(ISBLANK(G266),"",IF(ISERROR(VLOOKUP(G266,NOMINA,15,FALSE)),"",VLOOKUP(G266,NOMINA,15,FALSE)))</f>
        <v>0</v>
      </c>
      <c r="H270" s="19" t="s">
        <v>114</v>
      </c>
      <c r="I270" s="67">
        <f>IF(ISBLANK(G266),"",IF(ISERROR(VLOOKUP(G266,NOMINA,21,FALSE)),"",VLOOKUP(G266,NOMINA,21,FALSE)))</f>
        <v>37200</v>
      </c>
    </row>
    <row r="271" spans="1:9" ht="15.75" thickBot="1" x14ac:dyDescent="0.25">
      <c r="A271" s="20" t="s">
        <v>109</v>
      </c>
      <c r="B271" s="16">
        <f>IF(ISBLANK(B266),"",IF(ISERROR(VLOOKUP(B266,NOMINA,16,FALSE)),"",VLOOKUP(B266,NOMINA,16,FALSE)))</f>
        <v>72000</v>
      </c>
      <c r="C271" s="19" t="s">
        <v>115</v>
      </c>
      <c r="D271" s="67" t="str">
        <f>IF(ISBLANK(B266),"",IF(ISERROR(VLOOKUP(B266,NOMINA,22,FALSE)),"",VLOOKUP(B266,NOMINA,22,FALSE)))</f>
        <v/>
      </c>
      <c r="F271" s="20" t="s">
        <v>109</v>
      </c>
      <c r="G271" s="16">
        <f>IF(ISBLANK(G266),"",IF(ISERROR(VLOOKUP(G266,NOMINA,16,FALSE)),"",VLOOKUP(G266,NOMINA,16,FALSE)))</f>
        <v>72000</v>
      </c>
      <c r="H271" s="19" t="s">
        <v>115</v>
      </c>
      <c r="I271" s="67" t="str">
        <f>IF(ISBLANK(G266),"",IF(ISERROR(VLOOKUP(G266,NOMINA,22,FALSE)),"",VLOOKUP(G266,NOMINA,22,FALSE)))</f>
        <v/>
      </c>
    </row>
    <row r="272" spans="1:9" ht="15.75" thickBot="1" x14ac:dyDescent="0.25">
      <c r="A272" s="18" t="s">
        <v>110</v>
      </c>
      <c r="B272" s="16">
        <f>IF(ISBLANK(B266),"",IF(ISERROR(VLOOKUP(B266,NOMINA,17,FALSE)),"",VLOOKUP(B266,NOMINA,17,FALSE)))</f>
        <v>0</v>
      </c>
      <c r="C272" s="19" t="s">
        <v>116</v>
      </c>
      <c r="D272" s="67">
        <f>IF(ISBLANK(B266),"",IF(ISERROR(VLOOKUP(B266,NOMINA,23,FALSE)),"",VLOOKUP(B266,NOMINA,23,FALSE)))</f>
        <v>69669.166666666672</v>
      </c>
      <c r="F272" s="18" t="s">
        <v>110</v>
      </c>
      <c r="G272" s="16">
        <f>IF(ISBLANK(G266),"",IF(ISERROR(VLOOKUP(G266,NOMINA,17,FALSE)),"",VLOOKUP(G266,NOMINA,17,FALSE)))</f>
        <v>0</v>
      </c>
      <c r="H272" s="19" t="s">
        <v>116</v>
      </c>
      <c r="I272" s="67">
        <f>IF(ISBLANK(G266),"",IF(ISERROR(VLOOKUP(G266,NOMINA,23,FALSE)),"",VLOOKUP(G266,NOMINA,23,FALSE)))</f>
        <v>93000</v>
      </c>
    </row>
    <row r="273" spans="1:9" ht="15.75" thickBot="1" x14ac:dyDescent="0.25">
      <c r="A273" s="18" t="s">
        <v>111</v>
      </c>
      <c r="B273" s="16">
        <f>IF(ISBLANK(B266),"",IF(ISERROR(VLOOKUP(B266,NOMINA,18,FALSE)),"",VLOOKUP(B266,NOMINA,18,FALSE)))</f>
        <v>30000</v>
      </c>
      <c r="C273" s="21" t="s">
        <v>117</v>
      </c>
      <c r="D273" s="73">
        <f>IF(ISBLANK(B266),"",IF(ISERROR(VLOOKUP(B266,NOMINA,24,FALSE)),"",VLOOKUP(B266,NOMINA,24,FALSE)))</f>
        <v>3080</v>
      </c>
      <c r="F273" s="18" t="s">
        <v>111</v>
      </c>
      <c r="G273" s="16">
        <f>IF(ISBLANK(G266),"",IF(ISERROR(VLOOKUP(G266,NOMINA,18,FALSE)),"",VLOOKUP(G266,NOMINA,18,FALSE)))</f>
        <v>30000</v>
      </c>
      <c r="H273" s="21" t="s">
        <v>117</v>
      </c>
      <c r="I273" s="73">
        <f>IF(ISBLANK(G266),"",IF(ISERROR(VLOOKUP(G266,NOMINA,24,FALSE)),"",VLOOKUP(G266,NOMINA,24,FALSE)))</f>
        <v>9000</v>
      </c>
    </row>
    <row r="274" spans="1:9" ht="13.5" thickBot="1" x14ac:dyDescent="0.25">
      <c r="A274" s="22"/>
      <c r="B274" s="68"/>
      <c r="C274" s="23"/>
      <c r="D274" s="74"/>
      <c r="F274" s="22"/>
      <c r="G274" s="68"/>
      <c r="H274" s="23"/>
      <c r="I274" s="74"/>
    </row>
    <row r="275" spans="1:9" ht="15.75" thickBot="1" x14ac:dyDescent="0.25">
      <c r="A275" s="24" t="s">
        <v>112</v>
      </c>
      <c r="B275" s="16">
        <f>IF(ISBLANK(B266),"",IF(ISERROR(VLOOKUP(B266,NOMINA,19,FALSE)),"",VLOOKUP(B266,NOMINA,19,FALSE)))</f>
        <v>768691.66666666663</v>
      </c>
      <c r="C275" s="25" t="s">
        <v>118</v>
      </c>
      <c r="D275" s="67">
        <f>IF(ISBLANK(B266),"",IF(ISERROR(VLOOKUP(B266,NOMINA,25,FALSE)),"",VLOOKUP(B266,NOMINA,25,FALSE)))</f>
        <v>128484.5</v>
      </c>
      <c r="F275" s="24" t="s">
        <v>112</v>
      </c>
      <c r="G275" s="16">
        <f>IF(ISBLANK(G266),"",IF(ISERROR(VLOOKUP(G266,NOMINA,19,FALSE)),"",VLOOKUP(G266,NOMINA,19,FALSE)))</f>
        <v>1002000</v>
      </c>
      <c r="H275" s="25" t="s">
        <v>118</v>
      </c>
      <c r="I275" s="67">
        <f>IF(ISBLANK(G266),"",IF(ISERROR(VLOOKUP(G266,NOMINA,25,FALSE)),"",VLOOKUP(G266,NOMINA,25,FALSE)))</f>
        <v>176400</v>
      </c>
    </row>
    <row r="276" spans="1:9" x14ac:dyDescent="0.2">
      <c r="A276" s="22"/>
      <c r="B276" s="69"/>
      <c r="C276" s="23"/>
      <c r="D276" s="74"/>
      <c r="F276" s="22"/>
      <c r="G276" s="69"/>
      <c r="H276" s="23"/>
      <c r="I276" s="74"/>
    </row>
    <row r="277" spans="1:9" ht="13.5" thickBot="1" x14ac:dyDescent="0.25">
      <c r="A277" s="26"/>
      <c r="B277" s="70"/>
      <c r="C277" s="27"/>
      <c r="D277" s="75"/>
      <c r="F277" s="26"/>
      <c r="G277" s="70"/>
      <c r="H277" s="27"/>
      <c r="I277" s="75"/>
    </row>
    <row r="278" spans="1:9" ht="18.75" thickBot="1" x14ac:dyDescent="0.3">
      <c r="B278" s="71"/>
      <c r="C278" s="28" t="s">
        <v>119</v>
      </c>
      <c r="D278" s="76">
        <f>IF(ISBLANK(B266),"",IF(ISERROR(VLOOKUP(B266,NOMINA,26,FALSE)),"",VLOOKUP(B266,NOMINA,26,FALSE)))</f>
        <v>640207.16666666663</v>
      </c>
      <c r="G278" s="71"/>
      <c r="H278" s="28" t="s">
        <v>119</v>
      </c>
      <c r="I278" s="76">
        <f>IF(ISBLANK(G266),"",IF(ISERROR(VLOOKUP(G266,NOMINA,26,FALSE)),"",VLOOKUP(G266,NOMINA,26,FALSE)))</f>
        <v>825600</v>
      </c>
    </row>
    <row r="280" spans="1:9" ht="13.5" thickBot="1" x14ac:dyDescent="0.25"/>
    <row r="281" spans="1:9" x14ac:dyDescent="0.2">
      <c r="A281" s="181"/>
      <c r="B281" s="182"/>
      <c r="C281" s="182"/>
      <c r="D281" s="183"/>
      <c r="F281" s="181"/>
      <c r="G281" s="182"/>
      <c r="H281" s="182"/>
      <c r="I281" s="183"/>
    </row>
    <row r="282" spans="1:9" ht="18" x14ac:dyDescent="0.25">
      <c r="A282" s="184" t="s">
        <v>152</v>
      </c>
      <c r="B282" s="185"/>
      <c r="C282" s="185"/>
      <c r="D282" s="186"/>
      <c r="F282" s="184" t="s">
        <v>152</v>
      </c>
      <c r="G282" s="185"/>
      <c r="H282" s="185"/>
      <c r="I282" s="186"/>
    </row>
    <row r="283" spans="1:9" ht="18" x14ac:dyDescent="0.25">
      <c r="A283" s="187" t="s">
        <v>153</v>
      </c>
      <c r="B283" s="188"/>
      <c r="C283" s="188"/>
      <c r="D283" s="189"/>
      <c r="F283" s="187" t="s">
        <v>153</v>
      </c>
      <c r="G283" s="188"/>
      <c r="H283" s="188"/>
      <c r="I283" s="189"/>
    </row>
    <row r="284" spans="1:9" ht="15" x14ac:dyDescent="0.2">
      <c r="A284" s="172" t="s">
        <v>165</v>
      </c>
      <c r="B284" s="173"/>
      <c r="C284" s="173"/>
      <c r="D284" s="174"/>
      <c r="F284" s="172" t="s">
        <v>165</v>
      </c>
      <c r="G284" s="173"/>
      <c r="H284" s="173"/>
      <c r="I284" s="174"/>
    </row>
    <row r="285" spans="1:9" ht="13.5" thickBot="1" x14ac:dyDescent="0.25">
      <c r="A285" s="175"/>
      <c r="B285" s="176"/>
      <c r="C285" s="176"/>
      <c r="D285" s="177"/>
      <c r="F285" s="175"/>
      <c r="G285" s="176"/>
      <c r="H285" s="176"/>
      <c r="I285" s="177"/>
    </row>
    <row r="286" spans="1:9" ht="15.75" thickBot="1" x14ac:dyDescent="0.25">
      <c r="A286" s="13" t="s">
        <v>154</v>
      </c>
      <c r="B286" s="178" t="s">
        <v>150</v>
      </c>
      <c r="C286" s="179"/>
      <c r="D286" s="180"/>
      <c r="F286" s="13" t="s">
        <v>154</v>
      </c>
      <c r="G286" s="178" t="s">
        <v>151</v>
      </c>
      <c r="H286" s="179"/>
      <c r="I286" s="180"/>
    </row>
    <row r="287" spans="1:9" ht="15.75" thickBot="1" x14ac:dyDescent="0.25">
      <c r="A287" s="14" t="s">
        <v>120</v>
      </c>
      <c r="B287" s="166" t="str">
        <f>IF(ISBLANK(B286),"",IF(ISERROR(VLOOKUP(B286,BDEMPLEADOS,2,FALSE)),"NOEXISTE",VLOOKUP(B286,BDEMPLEADOS,2,FALSE)))</f>
        <v>Yohiner Tangarife</v>
      </c>
      <c r="C287" s="167"/>
      <c r="D287" s="168"/>
      <c r="F287" s="14" t="s">
        <v>120</v>
      </c>
      <c r="G287" s="166" t="str">
        <f>IF(ISBLANK(G286),"",IF(ISERROR(VLOOKUP(G286,BDEMPLEADOS,2,FALSE)),"NOEXISTE",VLOOKUP(G286,BDEMPLEADOS,2,FALSE)))</f>
        <v>Yuliana Cardona</v>
      </c>
      <c r="H287" s="167"/>
      <c r="I287" s="168"/>
    </row>
    <row r="288" spans="1:9" ht="15.75" thickBot="1" x14ac:dyDescent="0.25">
      <c r="A288" s="169"/>
      <c r="B288" s="170"/>
      <c r="C288" s="170"/>
      <c r="D288" s="171"/>
      <c r="F288" s="169"/>
      <c r="G288" s="170"/>
      <c r="H288" s="170"/>
      <c r="I288" s="171"/>
    </row>
    <row r="289" spans="1:9" ht="15.75" thickBot="1" x14ac:dyDescent="0.25">
      <c r="A289" s="15" t="s">
        <v>107</v>
      </c>
      <c r="B289" s="16">
        <f>IF(ISBLANK(B286),"",IF(ISERROR(VLOOKUP(B286,BDEMPLEADOS,4,FALSE)),"",VLOOKUP(B286,BDEMPLEADOS,4,FALSE)))</f>
        <v>900000</v>
      </c>
      <c r="C289" s="17" t="s">
        <v>113</v>
      </c>
      <c r="D289" s="67">
        <f>IF(ISBLANK(B286),"",IF(ISERROR(VLOOKUP(B286,NOMINA,20,FALSE)),"",VLOOKUP(B286,NOMINA,20,FALSE)))</f>
        <v>37200</v>
      </c>
      <c r="F289" s="15" t="s">
        <v>107</v>
      </c>
      <c r="G289" s="16">
        <f>IF(ISBLANK(G286),"",IF(ISERROR(VLOOKUP(G286,BDEMPLEADOS,4,FALSE)),"",VLOOKUP(G286,BDEMPLEADOS,4,FALSE)))</f>
        <v>700000</v>
      </c>
      <c r="H289" s="17" t="s">
        <v>113</v>
      </c>
      <c r="I289" s="67">
        <f>IF(ISBLANK(G286),"",IF(ISERROR(VLOOKUP(G286,NOMINA,20,FALSE)),"",VLOOKUP(G286,NOMINA,20,FALSE)))</f>
        <v>29200</v>
      </c>
    </row>
    <row r="290" spans="1:9" ht="15.75" thickBot="1" x14ac:dyDescent="0.25">
      <c r="A290" s="18" t="s">
        <v>108</v>
      </c>
      <c r="B290" s="16">
        <f>IF(ISBLANK(B286),"",IF(ISERROR(VLOOKUP(B286,NOMINA,15,FALSE)),"",VLOOKUP(B286,NOMINA,15,FALSE)))</f>
        <v>0</v>
      </c>
      <c r="C290" s="19" t="s">
        <v>114</v>
      </c>
      <c r="D290" s="67">
        <f>IF(ISBLANK(B286),"",IF(ISERROR(VLOOKUP(B286,NOMINA,21,FALSE)),"",VLOOKUP(B286,NOMINA,21,FALSE)))</f>
        <v>37200</v>
      </c>
      <c r="F290" s="18" t="s">
        <v>108</v>
      </c>
      <c r="G290" s="16">
        <f>IF(ISBLANK(G286),"",IF(ISERROR(VLOOKUP(G286,NOMINA,15,FALSE)),"",VLOOKUP(G286,NOMINA,15,FALSE)))</f>
        <v>0</v>
      </c>
      <c r="H290" s="19" t="s">
        <v>114</v>
      </c>
      <c r="I290" s="67">
        <f>IF(ISBLANK(G286),"",IF(ISERROR(VLOOKUP(G286,NOMINA,21,FALSE)),"",VLOOKUP(G286,NOMINA,21,FALSE)))</f>
        <v>29200</v>
      </c>
    </row>
    <row r="291" spans="1:9" ht="15.75" thickBot="1" x14ac:dyDescent="0.25">
      <c r="A291" s="20" t="s">
        <v>109</v>
      </c>
      <c r="B291" s="16">
        <f>IF(ISBLANK(B286),"",IF(ISERROR(VLOOKUP(B286,NOMINA,16,FALSE)),"",VLOOKUP(B286,NOMINA,16,FALSE)))</f>
        <v>72000</v>
      </c>
      <c r="C291" s="19" t="s">
        <v>115</v>
      </c>
      <c r="D291" s="67" t="str">
        <f>IF(ISBLANK(B286),"",IF(ISERROR(VLOOKUP(B286,NOMINA,22,FALSE)),"",VLOOKUP(B286,NOMINA,22,FALSE)))</f>
        <v/>
      </c>
      <c r="F291" s="20" t="s">
        <v>109</v>
      </c>
      <c r="G291" s="16">
        <f>IF(ISBLANK(G286),"",IF(ISERROR(VLOOKUP(G286,NOMINA,16,FALSE)),"",VLOOKUP(G286,NOMINA,16,FALSE)))</f>
        <v>72000</v>
      </c>
      <c r="H291" s="19" t="s">
        <v>115</v>
      </c>
      <c r="I291" s="67" t="str">
        <f>IF(ISBLANK(G286),"",IF(ISERROR(VLOOKUP(G286,NOMINA,22,FALSE)),"",VLOOKUP(G286,NOMINA,22,FALSE)))</f>
        <v/>
      </c>
    </row>
    <row r="292" spans="1:9" ht="15.75" thickBot="1" x14ac:dyDescent="0.25">
      <c r="A292" s="18" t="s">
        <v>110</v>
      </c>
      <c r="B292" s="16">
        <f>IF(ISBLANK(B286),"",IF(ISERROR(VLOOKUP(B286,NOMINA,17,FALSE)),"",VLOOKUP(B286,NOMINA,17,FALSE)))</f>
        <v>0</v>
      </c>
      <c r="C292" s="19" t="s">
        <v>116</v>
      </c>
      <c r="D292" s="67">
        <f>IF(ISBLANK(B286),"",IF(ISERROR(VLOOKUP(B286,NOMINA,23,FALSE)),"",VLOOKUP(B286,NOMINA,23,FALSE)))</f>
        <v>93000</v>
      </c>
      <c r="F292" s="18" t="s">
        <v>110</v>
      </c>
      <c r="G292" s="16">
        <f>IF(ISBLANK(G286),"",IF(ISERROR(VLOOKUP(G286,NOMINA,17,FALSE)),"",VLOOKUP(G286,NOMINA,17,FALSE)))</f>
        <v>0</v>
      </c>
      <c r="H292" s="19" t="s">
        <v>116</v>
      </c>
      <c r="I292" s="67">
        <f>IF(ISBLANK(G286),"",IF(ISERROR(VLOOKUP(G286,NOMINA,23,FALSE)),"",VLOOKUP(G286,NOMINA,23,FALSE)))</f>
        <v>73000</v>
      </c>
    </row>
    <row r="293" spans="1:9" ht="15.75" thickBot="1" x14ac:dyDescent="0.25">
      <c r="A293" s="18" t="s">
        <v>111</v>
      </c>
      <c r="B293" s="16">
        <f>IF(ISBLANK(B286),"",IF(ISERROR(VLOOKUP(B286,NOMINA,18,FALSE)),"",VLOOKUP(B286,NOMINA,18,FALSE)))</f>
        <v>30000</v>
      </c>
      <c r="C293" s="21" t="s">
        <v>117</v>
      </c>
      <c r="D293" s="73">
        <f>IF(ISBLANK(B286),"",IF(ISERROR(VLOOKUP(B286,NOMINA,24,FALSE)),"",VLOOKUP(B286,NOMINA,24,FALSE)))</f>
        <v>9000</v>
      </c>
      <c r="F293" s="18" t="s">
        <v>111</v>
      </c>
      <c r="G293" s="16">
        <f>IF(ISBLANK(G286),"",IF(ISERROR(VLOOKUP(G286,NOMINA,18,FALSE)),"",VLOOKUP(G286,NOMINA,18,FALSE)))</f>
        <v>30000</v>
      </c>
      <c r="H293" s="21" t="s">
        <v>117</v>
      </c>
      <c r="I293" s="73">
        <f>IF(ISBLANK(G286),"",IF(ISERROR(VLOOKUP(G286,NOMINA,24,FALSE)),"",VLOOKUP(G286,NOMINA,24,FALSE)))</f>
        <v>7000</v>
      </c>
    </row>
    <row r="294" spans="1:9" ht="13.5" thickBot="1" x14ac:dyDescent="0.25">
      <c r="A294" s="22"/>
      <c r="B294" s="68"/>
      <c r="C294" s="23"/>
      <c r="D294" s="74"/>
      <c r="F294" s="22"/>
      <c r="G294" s="68"/>
      <c r="H294" s="23"/>
      <c r="I294" s="74"/>
    </row>
    <row r="295" spans="1:9" ht="15.75" thickBot="1" x14ac:dyDescent="0.25">
      <c r="A295" s="24" t="s">
        <v>112</v>
      </c>
      <c r="B295" s="16">
        <f>IF(ISBLANK(B286),"",IF(ISERROR(VLOOKUP(B286,NOMINA,19,FALSE)),"",VLOOKUP(B286,NOMINA,19,FALSE)))</f>
        <v>1002000</v>
      </c>
      <c r="C295" s="25" t="s">
        <v>118</v>
      </c>
      <c r="D295" s="67">
        <f>IF(ISBLANK(B286),"",IF(ISERROR(VLOOKUP(B286,NOMINA,25,FALSE)),"",VLOOKUP(B286,NOMINA,25,FALSE)))</f>
        <v>176400</v>
      </c>
      <c r="F295" s="24" t="s">
        <v>112</v>
      </c>
      <c r="G295" s="16">
        <f>IF(ISBLANK(G286),"",IF(ISERROR(VLOOKUP(G286,NOMINA,19,FALSE)),"",VLOOKUP(G286,NOMINA,19,FALSE)))</f>
        <v>802000</v>
      </c>
      <c r="H295" s="25" t="s">
        <v>118</v>
      </c>
      <c r="I295" s="67">
        <f>IF(ISBLANK(G286),"",IF(ISERROR(VLOOKUP(G286,NOMINA,25,FALSE)),"",VLOOKUP(G286,NOMINA,25,FALSE)))</f>
        <v>138400</v>
      </c>
    </row>
    <row r="296" spans="1:9" x14ac:dyDescent="0.2">
      <c r="A296" s="22"/>
      <c r="B296" s="69"/>
      <c r="C296" s="23"/>
      <c r="D296" s="74"/>
      <c r="F296" s="22"/>
      <c r="G296" s="69"/>
      <c r="H296" s="23"/>
      <c r="I296" s="74"/>
    </row>
    <row r="297" spans="1:9" ht="13.5" thickBot="1" x14ac:dyDescent="0.25">
      <c r="A297" s="26"/>
      <c r="B297" s="70"/>
      <c r="C297" s="27"/>
      <c r="D297" s="75"/>
      <c r="F297" s="26"/>
      <c r="G297" s="70"/>
      <c r="H297" s="27"/>
      <c r="I297" s="75"/>
    </row>
    <row r="298" spans="1:9" ht="18.75" thickBot="1" x14ac:dyDescent="0.3">
      <c r="B298" s="71"/>
      <c r="C298" s="28" t="s">
        <v>119</v>
      </c>
      <c r="D298" s="76">
        <f>IF(ISBLANK(B286),"",IF(ISERROR(VLOOKUP(B286,NOMINA,26,FALSE)),"",VLOOKUP(B286,NOMINA,26,FALSE)))</f>
        <v>825600</v>
      </c>
      <c r="G298" s="71"/>
      <c r="H298" s="28" t="s">
        <v>119</v>
      </c>
      <c r="I298" s="76">
        <f>IF(ISBLANK(G286),"",IF(ISERROR(VLOOKUP(G286,NOMINA,26,FALSE)),"",VLOOKUP(G286,NOMINA,26,FALSE)))</f>
        <v>663600</v>
      </c>
    </row>
  </sheetData>
  <mergeCells count="240">
    <mergeCell ref="G7:I7"/>
    <mergeCell ref="F8:I8"/>
    <mergeCell ref="F1:I1"/>
    <mergeCell ref="F2:I2"/>
    <mergeCell ref="F3:I3"/>
    <mergeCell ref="F4:I4"/>
    <mergeCell ref="F5:I5"/>
    <mergeCell ref="G6:I6"/>
    <mergeCell ref="A1:D1"/>
    <mergeCell ref="A5:D5"/>
    <mergeCell ref="B6:D6"/>
    <mergeCell ref="A8:D8"/>
    <mergeCell ref="B7:D7"/>
    <mergeCell ref="A2:D2"/>
    <mergeCell ref="A3:D3"/>
    <mergeCell ref="A4:D4"/>
    <mergeCell ref="A23:D23"/>
    <mergeCell ref="F23:I23"/>
    <mergeCell ref="A24:D24"/>
    <mergeCell ref="F24:I24"/>
    <mergeCell ref="A25:D25"/>
    <mergeCell ref="F25:I25"/>
    <mergeCell ref="A21:D21"/>
    <mergeCell ref="F21:I21"/>
    <mergeCell ref="A22:D22"/>
    <mergeCell ref="F22:I22"/>
    <mergeCell ref="A41:D41"/>
    <mergeCell ref="F41:I41"/>
    <mergeCell ref="A42:D42"/>
    <mergeCell ref="F42:I42"/>
    <mergeCell ref="A43:D43"/>
    <mergeCell ref="F43:I43"/>
    <mergeCell ref="B26:D26"/>
    <mergeCell ref="G26:I26"/>
    <mergeCell ref="B27:D27"/>
    <mergeCell ref="G27:I27"/>
    <mergeCell ref="A28:D28"/>
    <mergeCell ref="F28:I28"/>
    <mergeCell ref="B47:D47"/>
    <mergeCell ref="G47:I47"/>
    <mergeCell ref="A48:D48"/>
    <mergeCell ref="F48:I48"/>
    <mergeCell ref="A61:D61"/>
    <mergeCell ref="F61:I61"/>
    <mergeCell ref="A44:D44"/>
    <mergeCell ref="F44:I44"/>
    <mergeCell ref="A45:D45"/>
    <mergeCell ref="F45:I45"/>
    <mergeCell ref="B46:D46"/>
    <mergeCell ref="G46:I46"/>
    <mergeCell ref="A65:D65"/>
    <mergeCell ref="F65:I65"/>
    <mergeCell ref="B66:D66"/>
    <mergeCell ref="G66:I66"/>
    <mergeCell ref="B67:D67"/>
    <mergeCell ref="G67:I67"/>
    <mergeCell ref="A62:D62"/>
    <mergeCell ref="F62:I62"/>
    <mergeCell ref="A63:D63"/>
    <mergeCell ref="F63:I63"/>
    <mergeCell ref="A64:D64"/>
    <mergeCell ref="F64:I64"/>
    <mergeCell ref="A83:D83"/>
    <mergeCell ref="F83:I83"/>
    <mergeCell ref="A84:D84"/>
    <mergeCell ref="F84:I84"/>
    <mergeCell ref="A85:D85"/>
    <mergeCell ref="F85:I85"/>
    <mergeCell ref="A68:D68"/>
    <mergeCell ref="F68:I68"/>
    <mergeCell ref="A81:D81"/>
    <mergeCell ref="F81:I81"/>
    <mergeCell ref="A82:D82"/>
    <mergeCell ref="F82:I82"/>
    <mergeCell ref="A101:D101"/>
    <mergeCell ref="F101:I101"/>
    <mergeCell ref="A102:D102"/>
    <mergeCell ref="F102:I102"/>
    <mergeCell ref="A103:D103"/>
    <mergeCell ref="F103:I103"/>
    <mergeCell ref="B86:D86"/>
    <mergeCell ref="G86:I86"/>
    <mergeCell ref="B87:D87"/>
    <mergeCell ref="G87:I87"/>
    <mergeCell ref="A88:D88"/>
    <mergeCell ref="F88:I88"/>
    <mergeCell ref="B107:D107"/>
    <mergeCell ref="G107:I107"/>
    <mergeCell ref="A108:D108"/>
    <mergeCell ref="F108:I108"/>
    <mergeCell ref="A121:D121"/>
    <mergeCell ref="F121:I121"/>
    <mergeCell ref="A104:D104"/>
    <mergeCell ref="F104:I104"/>
    <mergeCell ref="A105:D105"/>
    <mergeCell ref="F105:I105"/>
    <mergeCell ref="B106:D106"/>
    <mergeCell ref="G106:I106"/>
    <mergeCell ref="A125:D125"/>
    <mergeCell ref="F125:I125"/>
    <mergeCell ref="B126:D126"/>
    <mergeCell ref="G126:I126"/>
    <mergeCell ref="B127:D127"/>
    <mergeCell ref="G127:I127"/>
    <mergeCell ref="A122:D122"/>
    <mergeCell ref="F122:I122"/>
    <mergeCell ref="A123:D123"/>
    <mergeCell ref="F123:I123"/>
    <mergeCell ref="A124:D124"/>
    <mergeCell ref="F124:I124"/>
    <mergeCell ref="A143:D143"/>
    <mergeCell ref="F143:I143"/>
    <mergeCell ref="A144:D144"/>
    <mergeCell ref="F144:I144"/>
    <mergeCell ref="A145:D145"/>
    <mergeCell ref="F145:I145"/>
    <mergeCell ref="A128:D128"/>
    <mergeCell ref="F128:I128"/>
    <mergeCell ref="A141:D141"/>
    <mergeCell ref="F141:I141"/>
    <mergeCell ref="A142:D142"/>
    <mergeCell ref="F142:I142"/>
    <mergeCell ref="A161:D161"/>
    <mergeCell ref="F161:I161"/>
    <mergeCell ref="A162:D162"/>
    <mergeCell ref="F162:I162"/>
    <mergeCell ref="A163:D163"/>
    <mergeCell ref="F163:I163"/>
    <mergeCell ref="B146:D146"/>
    <mergeCell ref="G146:I146"/>
    <mergeCell ref="B147:D147"/>
    <mergeCell ref="G147:I147"/>
    <mergeCell ref="A148:D148"/>
    <mergeCell ref="F148:I148"/>
    <mergeCell ref="B167:D167"/>
    <mergeCell ref="G167:I167"/>
    <mergeCell ref="A168:D168"/>
    <mergeCell ref="F168:I168"/>
    <mergeCell ref="A181:D181"/>
    <mergeCell ref="F181:I181"/>
    <mergeCell ref="A164:D164"/>
    <mergeCell ref="F164:I164"/>
    <mergeCell ref="A165:D165"/>
    <mergeCell ref="F165:I165"/>
    <mergeCell ref="B166:D166"/>
    <mergeCell ref="G166:I166"/>
    <mergeCell ref="A185:D185"/>
    <mergeCell ref="F185:I185"/>
    <mergeCell ref="B186:D186"/>
    <mergeCell ref="G186:I186"/>
    <mergeCell ref="B187:D187"/>
    <mergeCell ref="G187:I187"/>
    <mergeCell ref="A182:D182"/>
    <mergeCell ref="F182:I182"/>
    <mergeCell ref="A183:D183"/>
    <mergeCell ref="F183:I183"/>
    <mergeCell ref="A184:D184"/>
    <mergeCell ref="F184:I184"/>
    <mergeCell ref="A203:D203"/>
    <mergeCell ref="F203:I203"/>
    <mergeCell ref="A204:D204"/>
    <mergeCell ref="F204:I204"/>
    <mergeCell ref="A205:D205"/>
    <mergeCell ref="F205:I205"/>
    <mergeCell ref="A188:D188"/>
    <mergeCell ref="F188:I188"/>
    <mergeCell ref="A201:D201"/>
    <mergeCell ref="F201:I201"/>
    <mergeCell ref="A202:D202"/>
    <mergeCell ref="F202:I202"/>
    <mergeCell ref="A221:D221"/>
    <mergeCell ref="F221:I221"/>
    <mergeCell ref="A222:D222"/>
    <mergeCell ref="F222:I222"/>
    <mergeCell ref="A223:D223"/>
    <mergeCell ref="F223:I223"/>
    <mergeCell ref="B206:D206"/>
    <mergeCell ref="G206:I206"/>
    <mergeCell ref="B207:D207"/>
    <mergeCell ref="G207:I207"/>
    <mergeCell ref="A208:D208"/>
    <mergeCell ref="F208:I208"/>
    <mergeCell ref="B227:D227"/>
    <mergeCell ref="G227:I227"/>
    <mergeCell ref="A228:D228"/>
    <mergeCell ref="F228:I228"/>
    <mergeCell ref="A241:D241"/>
    <mergeCell ref="F241:I241"/>
    <mergeCell ref="A224:D224"/>
    <mergeCell ref="F224:I224"/>
    <mergeCell ref="A225:D225"/>
    <mergeCell ref="F225:I225"/>
    <mergeCell ref="B226:D226"/>
    <mergeCell ref="G226:I226"/>
    <mergeCell ref="A245:D245"/>
    <mergeCell ref="F245:I245"/>
    <mergeCell ref="B246:D246"/>
    <mergeCell ref="G246:I246"/>
    <mergeCell ref="B247:D247"/>
    <mergeCell ref="G247:I247"/>
    <mergeCell ref="A242:D242"/>
    <mergeCell ref="F242:I242"/>
    <mergeCell ref="A243:D243"/>
    <mergeCell ref="F243:I243"/>
    <mergeCell ref="A244:D244"/>
    <mergeCell ref="F244:I244"/>
    <mergeCell ref="A263:D263"/>
    <mergeCell ref="F263:I263"/>
    <mergeCell ref="A264:D264"/>
    <mergeCell ref="F264:I264"/>
    <mergeCell ref="A265:D265"/>
    <mergeCell ref="F265:I265"/>
    <mergeCell ref="A248:D248"/>
    <mergeCell ref="F248:I248"/>
    <mergeCell ref="A261:D261"/>
    <mergeCell ref="F261:I261"/>
    <mergeCell ref="A262:D262"/>
    <mergeCell ref="F262:I262"/>
    <mergeCell ref="A281:D281"/>
    <mergeCell ref="F281:I281"/>
    <mergeCell ref="A282:D282"/>
    <mergeCell ref="F282:I282"/>
    <mergeCell ref="A283:D283"/>
    <mergeCell ref="F283:I283"/>
    <mergeCell ref="B266:D266"/>
    <mergeCell ref="G266:I266"/>
    <mergeCell ref="B267:D267"/>
    <mergeCell ref="G267:I267"/>
    <mergeCell ref="A268:D268"/>
    <mergeCell ref="F268:I268"/>
    <mergeCell ref="B287:D287"/>
    <mergeCell ref="G287:I287"/>
    <mergeCell ref="A288:D288"/>
    <mergeCell ref="F288:I288"/>
    <mergeCell ref="A284:D284"/>
    <mergeCell ref="F284:I284"/>
    <mergeCell ref="A285:D285"/>
    <mergeCell ref="F285:I285"/>
    <mergeCell ref="B286:D286"/>
    <mergeCell ref="G286:I286"/>
  </mergeCells>
  <pageMargins left="0.75" right="0.75" top="1" bottom="1" header="0" footer="0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BD EMPLEADOS</vt:lpstr>
      <vt:lpstr>Nómina</vt:lpstr>
      <vt:lpstr>COLILLA DE PAGO</vt:lpstr>
      <vt:lpstr>BDEMPLEADOS</vt:lpstr>
      <vt:lpstr>NOMINA</vt:lpstr>
    </vt:vector>
  </TitlesOfParts>
  <Company>Corp. Universitaria Remington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Vasquez Posada</dc:creator>
  <cp:lastModifiedBy>Luffi</cp:lastModifiedBy>
  <cp:lastPrinted>2005-09-23T16:25:39Z</cp:lastPrinted>
  <dcterms:created xsi:type="dcterms:W3CDTF">2002-09-19T11:10:59Z</dcterms:created>
  <dcterms:modified xsi:type="dcterms:W3CDTF">2014-11-29T04:16:06Z</dcterms:modified>
</cp:coreProperties>
</file>